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5831"/>
  <workbookPr codeName="ThisWorkbook"/>
  <mc:AlternateContent xmlns:mc="http://schemas.openxmlformats.org/markup-compatibility/2006">
    <mc:Choice Requires="x15">
      <x15ac:absPath xmlns:x15ac="http://schemas.microsoft.com/office/spreadsheetml/2010/11/ac" url="C:\Users\xixi\Desktop\"/>
    </mc:Choice>
  </mc:AlternateContent>
  <xr:revisionPtr revIDLastSave="0" documentId="13_ncr:1_{1C4FBC8F-3B3E-499C-B993-1062CD5A11E4}" xr6:coauthVersionLast="47" xr6:coauthVersionMax="47" xr10:uidLastSave="{00000000-0000-0000-0000-000000000000}"/>
  <bookViews>
    <workbookView xWindow="-98" yWindow="-98" windowWidth="21795" windowHeight="12975" xr2:uid="{00000000-000D-0000-FFFF-FFFF00000000}"/>
  </bookViews>
  <sheets>
    <sheet name="Worksheet"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CD348" i="1" l="1"/>
  <c r="BG348" i="1"/>
  <c r="BC348" i="1"/>
  <c r="CD347" i="1"/>
  <c r="BG347" i="1"/>
  <c r="BC347" i="1"/>
  <c r="CD346" i="1"/>
  <c r="BG346" i="1"/>
  <c r="BC346" i="1"/>
  <c r="CD345" i="1"/>
  <c r="BG345" i="1"/>
  <c r="BC345" i="1"/>
  <c r="CD344" i="1"/>
  <c r="BG344" i="1"/>
  <c r="BC344" i="1"/>
  <c r="CD343" i="1"/>
  <c r="BG343" i="1"/>
  <c r="BC343" i="1"/>
  <c r="CD342" i="1"/>
  <c r="BG342" i="1"/>
  <c r="BC342" i="1"/>
  <c r="CD341" i="1"/>
  <c r="BG341" i="1"/>
  <c r="BC341" i="1"/>
  <c r="CD340" i="1"/>
  <c r="BG340" i="1"/>
  <c r="BC340" i="1"/>
  <c r="CD339" i="1"/>
  <c r="BG339" i="1"/>
  <c r="BC339" i="1"/>
  <c r="CD338" i="1"/>
  <c r="BG338" i="1"/>
  <c r="BC338" i="1"/>
  <c r="CD337" i="1"/>
  <c r="BG337" i="1"/>
  <c r="BC337" i="1"/>
  <c r="CD336" i="1"/>
  <c r="BG336" i="1"/>
  <c r="BC336" i="1"/>
  <c r="CD335" i="1"/>
  <c r="BG335" i="1"/>
  <c r="BC335" i="1"/>
  <c r="CD334" i="1"/>
  <c r="BG334" i="1"/>
  <c r="BC334" i="1"/>
  <c r="CD333" i="1"/>
  <c r="BG333" i="1"/>
  <c r="BC333" i="1"/>
  <c r="CD332" i="1"/>
  <c r="BG332" i="1"/>
  <c r="BC332" i="1"/>
  <c r="CD331" i="1"/>
  <c r="BG331" i="1"/>
  <c r="BC331" i="1"/>
  <c r="CD330" i="1"/>
  <c r="BG330" i="1"/>
  <c r="BC330" i="1"/>
  <c r="CD329" i="1"/>
  <c r="BG329" i="1"/>
  <c r="BC329" i="1"/>
  <c r="CD328" i="1"/>
  <c r="BG328" i="1"/>
  <c r="BC328" i="1"/>
  <c r="CD327" i="1"/>
  <c r="BG327" i="1"/>
  <c r="BC327" i="1"/>
  <c r="CD326" i="1"/>
  <c r="BG326" i="1"/>
  <c r="BC326" i="1"/>
  <c r="CD325" i="1"/>
  <c r="BG325" i="1"/>
  <c r="BC325" i="1"/>
  <c r="CD324" i="1"/>
  <c r="BG324" i="1"/>
  <c r="BC324" i="1"/>
  <c r="CD323" i="1"/>
  <c r="BG323" i="1"/>
  <c r="BC323" i="1"/>
  <c r="CD322" i="1"/>
  <c r="BG322" i="1"/>
  <c r="BC322" i="1"/>
  <c r="CD321" i="1"/>
  <c r="BG321" i="1"/>
  <c r="BC321" i="1"/>
  <c r="CD320" i="1"/>
  <c r="BG320" i="1"/>
  <c r="BC320" i="1"/>
  <c r="CD319" i="1"/>
  <c r="BG319" i="1"/>
  <c r="BC319" i="1"/>
  <c r="CD318" i="1"/>
  <c r="BG318" i="1"/>
  <c r="BC318" i="1"/>
  <c r="CD317" i="1"/>
  <c r="BG317" i="1"/>
  <c r="BC317" i="1"/>
  <c r="CD316" i="1"/>
  <c r="BG316" i="1"/>
  <c r="BC316" i="1"/>
  <c r="CD315" i="1"/>
  <c r="BG315" i="1"/>
  <c r="BC315" i="1"/>
  <c r="CD314" i="1"/>
  <c r="BG314" i="1"/>
  <c r="BC314" i="1"/>
  <c r="CD313" i="1"/>
  <c r="BG313" i="1"/>
  <c r="BC313" i="1"/>
  <c r="CD312" i="1"/>
  <c r="BG312" i="1"/>
  <c r="BC312" i="1"/>
  <c r="CD311" i="1"/>
  <c r="BG311" i="1"/>
  <c r="BC311" i="1"/>
  <c r="CD310" i="1"/>
  <c r="BG310" i="1"/>
  <c r="BC310" i="1"/>
  <c r="CD309" i="1"/>
  <c r="BG309" i="1"/>
  <c r="BC309" i="1"/>
  <c r="CD308" i="1"/>
  <c r="BG308" i="1"/>
  <c r="BC308" i="1"/>
  <c r="CD307" i="1"/>
  <c r="BG307" i="1"/>
  <c r="BC307" i="1"/>
  <c r="CD306" i="1"/>
  <c r="BG306" i="1"/>
  <c r="BC306" i="1"/>
  <c r="CD305" i="1"/>
  <c r="BG305" i="1"/>
  <c r="BC305" i="1"/>
  <c r="CD304" i="1"/>
  <c r="BG304" i="1"/>
  <c r="BC304" i="1"/>
  <c r="CD303" i="1"/>
  <c r="BG303" i="1"/>
  <c r="BC303" i="1"/>
  <c r="CD302" i="1"/>
  <c r="BG302" i="1"/>
  <c r="BC302" i="1"/>
  <c r="CD301" i="1"/>
  <c r="BG301" i="1"/>
  <c r="BC301" i="1"/>
  <c r="CD300" i="1"/>
  <c r="BG300" i="1"/>
  <c r="BC300" i="1"/>
  <c r="CD299" i="1"/>
  <c r="BG299" i="1"/>
  <c r="BC299" i="1"/>
  <c r="CD298" i="1"/>
  <c r="BG298" i="1"/>
  <c r="BC298" i="1"/>
  <c r="CD297" i="1"/>
  <c r="BG297" i="1"/>
  <c r="BC297" i="1"/>
  <c r="CD296" i="1"/>
  <c r="BG296" i="1"/>
  <c r="BC296" i="1"/>
  <c r="CD295" i="1"/>
  <c r="BG295" i="1"/>
  <c r="BC295" i="1"/>
  <c r="CD294" i="1"/>
  <c r="BG294" i="1"/>
  <c r="BC294" i="1"/>
  <c r="CD293" i="1"/>
  <c r="BG293" i="1"/>
  <c r="BC293" i="1"/>
  <c r="CD292" i="1"/>
  <c r="BG292" i="1"/>
  <c r="BC292" i="1"/>
  <c r="CD291" i="1"/>
  <c r="BG291" i="1"/>
  <c r="BC291" i="1"/>
  <c r="CD290" i="1"/>
  <c r="BG290" i="1"/>
  <c r="BC290" i="1"/>
  <c r="CD289" i="1"/>
  <c r="BG289" i="1"/>
  <c r="BC289" i="1"/>
  <c r="CD288" i="1"/>
  <c r="BG288" i="1"/>
  <c r="BC288" i="1"/>
  <c r="CD287" i="1"/>
  <c r="BG287" i="1"/>
  <c r="BC287" i="1"/>
  <c r="CD286" i="1"/>
  <c r="BG286" i="1"/>
  <c r="BC286" i="1"/>
  <c r="CD285" i="1"/>
  <c r="BG285" i="1"/>
  <c r="BC285" i="1"/>
  <c r="CD284" i="1"/>
  <c r="BG284" i="1"/>
  <c r="BC284" i="1"/>
  <c r="CD283" i="1"/>
  <c r="BG283" i="1"/>
  <c r="BC283" i="1"/>
  <c r="CD282" i="1"/>
  <c r="BG282" i="1"/>
  <c r="BC282" i="1"/>
  <c r="CD281" i="1"/>
  <c r="BG281" i="1"/>
  <c r="BC281" i="1"/>
  <c r="CD280" i="1"/>
  <c r="BG280" i="1"/>
  <c r="BC280" i="1"/>
  <c r="CD279" i="1"/>
  <c r="BG279" i="1"/>
  <c r="BC279" i="1"/>
  <c r="CD278" i="1"/>
  <c r="BG278" i="1"/>
  <c r="BC278" i="1"/>
  <c r="CD277" i="1"/>
  <c r="BG277" i="1"/>
  <c r="BC277" i="1"/>
  <c r="CD276" i="1"/>
  <c r="BG276" i="1"/>
  <c r="BC276" i="1"/>
  <c r="CD275" i="1"/>
  <c r="BG275" i="1"/>
  <c r="BC275" i="1"/>
  <c r="CD274" i="1"/>
  <c r="BG274" i="1"/>
  <c r="BC274" i="1"/>
  <c r="CD273" i="1"/>
  <c r="BG273" i="1"/>
  <c r="BC273" i="1"/>
  <c r="CD272" i="1"/>
  <c r="BG272" i="1"/>
  <c r="BC272" i="1"/>
  <c r="CD271" i="1"/>
  <c r="BG271" i="1"/>
  <c r="BC271" i="1"/>
  <c r="CD270" i="1"/>
  <c r="BG270" i="1"/>
  <c r="BC270" i="1"/>
  <c r="CD269" i="1"/>
  <c r="BG269" i="1"/>
  <c r="BC269" i="1"/>
  <c r="CD268" i="1"/>
  <c r="BG268" i="1"/>
  <c r="BC268" i="1"/>
  <c r="CD267" i="1"/>
  <c r="BG267" i="1"/>
  <c r="BC267" i="1"/>
  <c r="CD266" i="1"/>
  <c r="BG266" i="1"/>
  <c r="BC266" i="1"/>
  <c r="CD265" i="1"/>
  <c r="BG265" i="1"/>
  <c r="BC265" i="1"/>
  <c r="CD264" i="1"/>
  <c r="BG264" i="1"/>
  <c r="BC264" i="1"/>
  <c r="CD263" i="1"/>
  <c r="BG263" i="1"/>
  <c r="BC263" i="1"/>
  <c r="CD262" i="1"/>
  <c r="BG262" i="1"/>
  <c r="BC262" i="1"/>
  <c r="CD261" i="1"/>
  <c r="BG261" i="1"/>
  <c r="BC261" i="1"/>
  <c r="CD260" i="1"/>
  <c r="BG260" i="1"/>
  <c r="BC260" i="1"/>
  <c r="CD259" i="1"/>
  <c r="BG259" i="1"/>
  <c r="BC259" i="1"/>
  <c r="CD258" i="1"/>
  <c r="BG258" i="1"/>
  <c r="BC258" i="1"/>
  <c r="CD257" i="1"/>
  <c r="BG257" i="1"/>
  <c r="BC257" i="1"/>
  <c r="CD256" i="1"/>
  <c r="BG256" i="1"/>
  <c r="BC256" i="1"/>
  <c r="CD255" i="1"/>
  <c r="BG255" i="1"/>
  <c r="BC255" i="1"/>
  <c r="CD254" i="1"/>
  <c r="BG254" i="1"/>
  <c r="BC254" i="1"/>
  <c r="CD253" i="1"/>
  <c r="BG253" i="1"/>
  <c r="BC253" i="1"/>
  <c r="CD252" i="1"/>
  <c r="BG252" i="1"/>
  <c r="BC252" i="1"/>
  <c r="CD251" i="1"/>
  <c r="BG251" i="1"/>
  <c r="BC251" i="1"/>
  <c r="CD250" i="1"/>
  <c r="BG250" i="1"/>
  <c r="BC250" i="1"/>
  <c r="CD249" i="1"/>
  <c r="BG249" i="1"/>
  <c r="BC249" i="1"/>
  <c r="CD248" i="1"/>
  <c r="BG248" i="1"/>
  <c r="BC248" i="1"/>
  <c r="CD247" i="1"/>
  <c r="BG247" i="1"/>
  <c r="BC247" i="1"/>
  <c r="CD246" i="1"/>
  <c r="BG246" i="1"/>
  <c r="BC246" i="1"/>
  <c r="CD245" i="1"/>
  <c r="BG245" i="1"/>
  <c r="BC245" i="1"/>
  <c r="CD244" i="1"/>
  <c r="BG244" i="1"/>
  <c r="BC244" i="1"/>
  <c r="CD243" i="1"/>
  <c r="BG243" i="1"/>
  <c r="BC243" i="1"/>
  <c r="CD242" i="1"/>
  <c r="BG242" i="1"/>
  <c r="BC242" i="1"/>
  <c r="CD241" i="1"/>
  <c r="BG241" i="1"/>
  <c r="BC241" i="1"/>
  <c r="CD240" i="1"/>
  <c r="BG240" i="1"/>
  <c r="BC240" i="1"/>
  <c r="CD239" i="1"/>
  <c r="BG239" i="1"/>
  <c r="BC239" i="1"/>
  <c r="CD238" i="1"/>
  <c r="BG238" i="1"/>
  <c r="BC238" i="1"/>
  <c r="CD237" i="1"/>
  <c r="BG237" i="1"/>
  <c r="BC237" i="1"/>
  <c r="CD236" i="1"/>
  <c r="BG236" i="1"/>
  <c r="BC236" i="1"/>
  <c r="CD235" i="1"/>
  <c r="BG235" i="1"/>
  <c r="BC235" i="1"/>
  <c r="CD234" i="1"/>
  <c r="BG234" i="1"/>
  <c r="BC234" i="1"/>
  <c r="CD233" i="1"/>
  <c r="BG233" i="1"/>
  <c r="BC233" i="1"/>
  <c r="CD232" i="1"/>
  <c r="BG232" i="1"/>
  <c r="BC232" i="1"/>
  <c r="CD231" i="1"/>
  <c r="BG231" i="1"/>
  <c r="BC231" i="1"/>
  <c r="CD230" i="1"/>
  <c r="BG230" i="1"/>
  <c r="BC230" i="1"/>
  <c r="CD229" i="1"/>
  <c r="BG229" i="1"/>
  <c r="BC229" i="1"/>
  <c r="CD228" i="1"/>
  <c r="BG228" i="1"/>
  <c r="BC228" i="1"/>
  <c r="CD227" i="1"/>
  <c r="BG227" i="1"/>
  <c r="BC227" i="1"/>
  <c r="CD226" i="1"/>
  <c r="BG226" i="1"/>
  <c r="BC226" i="1"/>
  <c r="CD225" i="1"/>
  <c r="BG225" i="1"/>
  <c r="BC225" i="1"/>
  <c r="CD224" i="1"/>
  <c r="BG224" i="1"/>
  <c r="BC224" i="1"/>
  <c r="CD223" i="1"/>
  <c r="BG223" i="1"/>
  <c r="BC223" i="1"/>
  <c r="CD222" i="1"/>
  <c r="BG222" i="1"/>
  <c r="BC222" i="1"/>
  <c r="CD221" i="1"/>
  <c r="BG221" i="1"/>
  <c r="BC221" i="1"/>
  <c r="CD220" i="1"/>
  <c r="BG220" i="1"/>
  <c r="BC220" i="1"/>
  <c r="CD219" i="1"/>
  <c r="BG219" i="1"/>
  <c r="BC219" i="1"/>
  <c r="CD218" i="1"/>
  <c r="BG218" i="1"/>
  <c r="BC218" i="1"/>
  <c r="CD217" i="1"/>
  <c r="BG217" i="1"/>
  <c r="BC217" i="1"/>
  <c r="CD216" i="1"/>
  <c r="BG216" i="1"/>
  <c r="BC216" i="1"/>
  <c r="CD215" i="1"/>
  <c r="BG215" i="1"/>
  <c r="BC215" i="1"/>
  <c r="CD214" i="1"/>
  <c r="BG214" i="1"/>
  <c r="BC214" i="1"/>
  <c r="CD213" i="1"/>
  <c r="BG213" i="1"/>
  <c r="BC213" i="1"/>
  <c r="CD212" i="1"/>
  <c r="BG212" i="1"/>
  <c r="BC212" i="1"/>
  <c r="CD211" i="1"/>
  <c r="BG211" i="1"/>
  <c r="BC211" i="1"/>
  <c r="CD210" i="1"/>
  <c r="BG210" i="1"/>
  <c r="BC210" i="1"/>
  <c r="CD209" i="1"/>
  <c r="BG209" i="1"/>
  <c r="BC209" i="1"/>
  <c r="CD208" i="1"/>
  <c r="BG208" i="1"/>
  <c r="BC208" i="1"/>
  <c r="CD207" i="1"/>
  <c r="BG207" i="1"/>
  <c r="BC207" i="1"/>
  <c r="CD206" i="1"/>
  <c r="BG206" i="1"/>
  <c r="BC206" i="1"/>
  <c r="CD205" i="1"/>
  <c r="BG205" i="1"/>
  <c r="BC205" i="1"/>
  <c r="CD204" i="1"/>
  <c r="BG204" i="1"/>
  <c r="BC204" i="1"/>
  <c r="CD203" i="1"/>
  <c r="BG203" i="1"/>
  <c r="BC203" i="1"/>
  <c r="CD202" i="1"/>
  <c r="BG202" i="1"/>
  <c r="BC202" i="1"/>
  <c r="CD201" i="1"/>
  <c r="BG201" i="1"/>
  <c r="BC201" i="1"/>
  <c r="CD200" i="1"/>
  <c r="BG200" i="1"/>
  <c r="BC200" i="1"/>
  <c r="CD199" i="1"/>
  <c r="BG199" i="1"/>
  <c r="BC199" i="1"/>
  <c r="CD198" i="1"/>
  <c r="BG198" i="1"/>
  <c r="BC198" i="1"/>
  <c r="CD197" i="1"/>
  <c r="BG197" i="1"/>
  <c r="BC197" i="1"/>
  <c r="CD196" i="1"/>
  <c r="BG196" i="1"/>
  <c r="BC196" i="1"/>
  <c r="CD195" i="1"/>
  <c r="BG195" i="1"/>
  <c r="BC195" i="1"/>
  <c r="CD194" i="1"/>
  <c r="BG194" i="1"/>
  <c r="BC194" i="1"/>
  <c r="CD193" i="1"/>
  <c r="BG193" i="1"/>
  <c r="BC193" i="1"/>
  <c r="CD192" i="1"/>
  <c r="BG192" i="1"/>
  <c r="BC192" i="1"/>
  <c r="CD191" i="1"/>
  <c r="BG191" i="1"/>
  <c r="BC191" i="1"/>
  <c r="CD190" i="1"/>
  <c r="BG190" i="1"/>
  <c r="BC190" i="1"/>
  <c r="CD189" i="1"/>
  <c r="BG189" i="1"/>
  <c r="BC189" i="1"/>
  <c r="CD188" i="1"/>
  <c r="BG188" i="1"/>
  <c r="BC188" i="1"/>
  <c r="CD187" i="1"/>
  <c r="BG187" i="1"/>
  <c r="BC187" i="1"/>
  <c r="CD186" i="1"/>
  <c r="BG186" i="1"/>
  <c r="BC186" i="1"/>
  <c r="CD185" i="1"/>
  <c r="BG185" i="1"/>
  <c r="BC185" i="1"/>
  <c r="CD184" i="1"/>
  <c r="BG184" i="1"/>
  <c r="BC184" i="1"/>
  <c r="CD183" i="1"/>
  <c r="BG183" i="1"/>
  <c r="BC183" i="1"/>
  <c r="CD182" i="1"/>
  <c r="BG182" i="1"/>
  <c r="BC182" i="1"/>
  <c r="CD181" i="1"/>
  <c r="BG181" i="1"/>
  <c r="BC181" i="1"/>
  <c r="CD180" i="1"/>
  <c r="BG180" i="1"/>
  <c r="BC180" i="1"/>
  <c r="CD179" i="1"/>
  <c r="BG179" i="1"/>
  <c r="BC179" i="1"/>
  <c r="CD178" i="1"/>
  <c r="BG178" i="1"/>
  <c r="BC178" i="1"/>
  <c r="CD177" i="1"/>
  <c r="BG177" i="1"/>
  <c r="BC177" i="1"/>
  <c r="CD176" i="1"/>
  <c r="BG176" i="1"/>
  <c r="BC176" i="1"/>
  <c r="CD175" i="1"/>
  <c r="BG175" i="1"/>
  <c r="BC175" i="1"/>
  <c r="CD174" i="1"/>
  <c r="BG174" i="1"/>
  <c r="BC174" i="1"/>
  <c r="CD173" i="1"/>
  <c r="BG173" i="1"/>
  <c r="BC173" i="1"/>
  <c r="CD172" i="1"/>
  <c r="BG172" i="1"/>
  <c r="BC172" i="1"/>
  <c r="CD171" i="1"/>
  <c r="BG171" i="1"/>
  <c r="BC171" i="1"/>
  <c r="CD170" i="1"/>
  <c r="BG170" i="1"/>
  <c r="BC170" i="1"/>
  <c r="CD169" i="1"/>
  <c r="BG169" i="1"/>
  <c r="BC169" i="1"/>
  <c r="CD168" i="1"/>
  <c r="BG168" i="1"/>
  <c r="BC168" i="1"/>
  <c r="CD167" i="1"/>
  <c r="BG167" i="1"/>
  <c r="BC167" i="1"/>
  <c r="CD166" i="1"/>
  <c r="BG166" i="1"/>
  <c r="BC166" i="1"/>
  <c r="CD165" i="1"/>
  <c r="BG165" i="1"/>
  <c r="BC165" i="1"/>
  <c r="CD164" i="1"/>
  <c r="BG164" i="1"/>
  <c r="BC164" i="1"/>
  <c r="CD163" i="1"/>
  <c r="BG163" i="1"/>
  <c r="BC163" i="1"/>
  <c r="CD162" i="1"/>
  <c r="BG162" i="1"/>
  <c r="BC162" i="1"/>
  <c r="CD161" i="1"/>
  <c r="BG161" i="1"/>
  <c r="BC161" i="1"/>
  <c r="CD160" i="1"/>
  <c r="BG160" i="1"/>
  <c r="BC160" i="1"/>
  <c r="CD159" i="1"/>
  <c r="BG159" i="1"/>
  <c r="BC159" i="1"/>
  <c r="CD158" i="1"/>
  <c r="BG158" i="1"/>
  <c r="BC158" i="1"/>
  <c r="CD157" i="1"/>
  <c r="BG157" i="1"/>
  <c r="BC157" i="1"/>
  <c r="CD156" i="1"/>
  <c r="BG156" i="1"/>
  <c r="BC156" i="1"/>
  <c r="CD155" i="1"/>
  <c r="BG155" i="1"/>
  <c r="BC155" i="1"/>
  <c r="CD154" i="1"/>
  <c r="BG154" i="1"/>
  <c r="BC154" i="1"/>
  <c r="CD153" i="1"/>
  <c r="BG153" i="1"/>
  <c r="BC153" i="1"/>
  <c r="CD152" i="1"/>
  <c r="BG152" i="1"/>
  <c r="BC152" i="1"/>
  <c r="CD151" i="1"/>
  <c r="BG151" i="1"/>
  <c r="BC151" i="1"/>
  <c r="CD150" i="1"/>
  <c r="BG150" i="1"/>
  <c r="BC150" i="1"/>
  <c r="CD149" i="1"/>
  <c r="BG149" i="1"/>
  <c r="BC149" i="1"/>
  <c r="CD148" i="1"/>
  <c r="BG148" i="1"/>
  <c r="BC148" i="1"/>
  <c r="CD147" i="1"/>
  <c r="BG147" i="1"/>
  <c r="BC147" i="1"/>
  <c r="CD146" i="1"/>
  <c r="BG146" i="1"/>
  <c r="BC146" i="1"/>
  <c r="CD145" i="1"/>
  <c r="BG145" i="1"/>
  <c r="BC145" i="1"/>
  <c r="CD144" i="1"/>
  <c r="BG144" i="1"/>
  <c r="BC144" i="1"/>
  <c r="CD143" i="1"/>
  <c r="BG143" i="1"/>
  <c r="BC143" i="1"/>
  <c r="CD142" i="1"/>
  <c r="BG142" i="1"/>
  <c r="BC142" i="1"/>
  <c r="CD141" i="1"/>
  <c r="BG141" i="1"/>
  <c r="BC141" i="1"/>
  <c r="CD140" i="1"/>
  <c r="BG140" i="1"/>
  <c r="BC140" i="1"/>
  <c r="CD139" i="1"/>
  <c r="BG139" i="1"/>
  <c r="BC139" i="1"/>
  <c r="CD138" i="1"/>
  <c r="BG138" i="1"/>
  <c r="BC138" i="1"/>
  <c r="CD137" i="1"/>
  <c r="BG137" i="1"/>
  <c r="BC137" i="1"/>
  <c r="CD136" i="1"/>
  <c r="BG136" i="1"/>
  <c r="BC136" i="1"/>
  <c r="CD135" i="1"/>
  <c r="BG135" i="1"/>
  <c r="BC135" i="1"/>
  <c r="CD134" i="1"/>
  <c r="BG134" i="1"/>
  <c r="BC134" i="1"/>
  <c r="CD133" i="1"/>
  <c r="BG133" i="1"/>
  <c r="BC133" i="1"/>
  <c r="CD132" i="1"/>
  <c r="BG132" i="1"/>
  <c r="BC132" i="1"/>
  <c r="CD131" i="1"/>
  <c r="BG131" i="1"/>
  <c r="BC131" i="1"/>
  <c r="CD130" i="1"/>
  <c r="BG130" i="1"/>
  <c r="BC130" i="1"/>
  <c r="CD129" i="1"/>
  <c r="BG129" i="1"/>
  <c r="BC129" i="1"/>
  <c r="CD128" i="1"/>
  <c r="BG128" i="1"/>
  <c r="BC128" i="1"/>
  <c r="CD127" i="1"/>
  <c r="BG127" i="1"/>
  <c r="BC127" i="1"/>
  <c r="CD126" i="1"/>
  <c r="BG126" i="1"/>
  <c r="BC126" i="1"/>
  <c r="CD125" i="1"/>
  <c r="BG125" i="1"/>
  <c r="BC125" i="1"/>
  <c r="CD124" i="1"/>
  <c r="BG124" i="1"/>
  <c r="BC124" i="1"/>
  <c r="CD123" i="1"/>
  <c r="BG123" i="1"/>
  <c r="BC123" i="1"/>
  <c r="CD122" i="1"/>
  <c r="BG122" i="1"/>
  <c r="BC122" i="1"/>
  <c r="CD121" i="1"/>
  <c r="BG121" i="1"/>
  <c r="BC121" i="1"/>
  <c r="CD120" i="1"/>
  <c r="BG120" i="1"/>
  <c r="BC120" i="1"/>
  <c r="CD119" i="1"/>
  <c r="BG119" i="1"/>
  <c r="BC119" i="1"/>
  <c r="CD118" i="1"/>
  <c r="BG118" i="1"/>
  <c r="BC118" i="1"/>
  <c r="CD117" i="1"/>
  <c r="BG117" i="1"/>
  <c r="BC117" i="1"/>
  <c r="CD116" i="1"/>
  <c r="BG116" i="1"/>
  <c r="BC116" i="1"/>
  <c r="CD115" i="1"/>
  <c r="BG115" i="1"/>
  <c r="BC115" i="1"/>
  <c r="CD114" i="1"/>
  <c r="BG114" i="1"/>
  <c r="BC114" i="1"/>
  <c r="CD113" i="1"/>
  <c r="BG113" i="1"/>
  <c r="BC113" i="1"/>
  <c r="CD112" i="1"/>
  <c r="BG112" i="1"/>
  <c r="BC112" i="1"/>
  <c r="CD111" i="1"/>
  <c r="BG111" i="1"/>
  <c r="BC111" i="1"/>
  <c r="CD110" i="1"/>
  <c r="BG110" i="1"/>
  <c r="BC110" i="1"/>
  <c r="CD109" i="1"/>
  <c r="BG109" i="1"/>
  <c r="BC109" i="1"/>
  <c r="CD108" i="1"/>
  <c r="BG108" i="1"/>
  <c r="BC108" i="1"/>
  <c r="CD107" i="1"/>
  <c r="BG107" i="1"/>
  <c r="BC107" i="1"/>
  <c r="CD106" i="1"/>
  <c r="BG106" i="1"/>
  <c r="BC106" i="1"/>
  <c r="CD105" i="1"/>
  <c r="BG105" i="1"/>
  <c r="BC105" i="1"/>
  <c r="CD104" i="1"/>
  <c r="BG104" i="1"/>
  <c r="BC104" i="1"/>
  <c r="CD103" i="1"/>
  <c r="BG103" i="1"/>
  <c r="BC103" i="1"/>
  <c r="CD102" i="1"/>
  <c r="BG102" i="1"/>
  <c r="BC102" i="1"/>
  <c r="CD101" i="1"/>
  <c r="BG101" i="1"/>
  <c r="BC101" i="1"/>
  <c r="CD100" i="1"/>
  <c r="BG100" i="1"/>
  <c r="BC100" i="1"/>
  <c r="CD99" i="1"/>
  <c r="BG99" i="1"/>
  <c r="BC99" i="1"/>
  <c r="CD98" i="1"/>
  <c r="BG98" i="1"/>
  <c r="BC98" i="1"/>
  <c r="CD97" i="1"/>
  <c r="BG97" i="1"/>
  <c r="BC97" i="1"/>
  <c r="CD96" i="1"/>
  <c r="BG96" i="1"/>
  <c r="BC96" i="1"/>
  <c r="CD95" i="1"/>
  <c r="BG95" i="1"/>
  <c r="BC95" i="1"/>
  <c r="CD94" i="1"/>
  <c r="BG94" i="1"/>
  <c r="BC94" i="1"/>
  <c r="CD93" i="1"/>
  <c r="BG93" i="1"/>
  <c r="BC93" i="1"/>
  <c r="CD92" i="1"/>
  <c r="BG92" i="1"/>
  <c r="BC92" i="1"/>
  <c r="CD91" i="1"/>
  <c r="BG91" i="1"/>
  <c r="BC91" i="1"/>
  <c r="CD90" i="1"/>
  <c r="BG90" i="1"/>
  <c r="BC90" i="1"/>
  <c r="CD89" i="1"/>
  <c r="BG89" i="1"/>
  <c r="BC89" i="1"/>
  <c r="CD88" i="1"/>
  <c r="BG88" i="1"/>
  <c r="BC88" i="1"/>
  <c r="CD87" i="1"/>
  <c r="BG87" i="1"/>
  <c r="BC87" i="1"/>
  <c r="CD86" i="1"/>
  <c r="BG86" i="1"/>
  <c r="BC86" i="1"/>
  <c r="CD85" i="1"/>
  <c r="BG85" i="1"/>
  <c r="BC85" i="1"/>
  <c r="CD84" i="1"/>
  <c r="BG84" i="1"/>
  <c r="BC84" i="1"/>
  <c r="CD83" i="1"/>
  <c r="BG83" i="1"/>
  <c r="BC83" i="1"/>
  <c r="CD82" i="1"/>
  <c r="BG82" i="1"/>
  <c r="BC82" i="1"/>
  <c r="CD81" i="1"/>
  <c r="BG81" i="1"/>
  <c r="BC81" i="1"/>
  <c r="CD80" i="1"/>
  <c r="BG80" i="1"/>
  <c r="BC80" i="1"/>
  <c r="CD79" i="1"/>
  <c r="BG79" i="1"/>
  <c r="BC79" i="1"/>
  <c r="CD78" i="1"/>
  <c r="BG78" i="1"/>
  <c r="BC78" i="1"/>
  <c r="CD77" i="1"/>
  <c r="BG77" i="1"/>
  <c r="BC77" i="1"/>
  <c r="CD76" i="1"/>
  <c r="BG76" i="1"/>
  <c r="BC76" i="1"/>
  <c r="CD75" i="1"/>
  <c r="BG75" i="1"/>
  <c r="BC75" i="1"/>
  <c r="CD74" i="1"/>
  <c r="BG74" i="1"/>
  <c r="BC74" i="1"/>
  <c r="CD73" i="1"/>
  <c r="BG73" i="1"/>
  <c r="BC73" i="1"/>
  <c r="CD72" i="1"/>
  <c r="BG72" i="1"/>
  <c r="BC72" i="1"/>
  <c r="CD71" i="1"/>
  <c r="BG71" i="1"/>
  <c r="BC71" i="1"/>
  <c r="CD70" i="1"/>
  <c r="BG70" i="1"/>
  <c r="BC70" i="1"/>
  <c r="CD69" i="1"/>
  <c r="BG69" i="1"/>
  <c r="BC69" i="1"/>
  <c r="CD68" i="1"/>
  <c r="BG68" i="1"/>
  <c r="BC68" i="1"/>
  <c r="CD67" i="1"/>
  <c r="BG67" i="1"/>
  <c r="BC67" i="1"/>
  <c r="CD66" i="1"/>
  <c r="BG66" i="1"/>
  <c r="BC66" i="1"/>
  <c r="CD65" i="1"/>
  <c r="BG65" i="1"/>
  <c r="BC65" i="1"/>
  <c r="CD64" i="1"/>
  <c r="BG64" i="1"/>
  <c r="BC64" i="1"/>
  <c r="CD63" i="1"/>
  <c r="BG63" i="1"/>
  <c r="BC63" i="1"/>
  <c r="CD62" i="1"/>
  <c r="BG62" i="1"/>
  <c r="BC62" i="1"/>
  <c r="CD61" i="1"/>
  <c r="BG61" i="1"/>
  <c r="BC61" i="1"/>
  <c r="CD60" i="1"/>
  <c r="BG60" i="1"/>
  <c r="BC60" i="1"/>
  <c r="CD59" i="1"/>
  <c r="BG59" i="1"/>
  <c r="BC59" i="1"/>
  <c r="CD58" i="1"/>
  <c r="BG58" i="1"/>
  <c r="BC58" i="1"/>
  <c r="CD57" i="1"/>
  <c r="BG57" i="1"/>
  <c r="BC57" i="1"/>
  <c r="CD56" i="1"/>
  <c r="BG56" i="1"/>
  <c r="BC56" i="1"/>
  <c r="CD55" i="1"/>
  <c r="BG55" i="1"/>
  <c r="BC55" i="1"/>
  <c r="CD54" i="1"/>
  <c r="BG54" i="1"/>
  <c r="BC54" i="1"/>
  <c r="CD53" i="1"/>
  <c r="BG53" i="1"/>
  <c r="BC53" i="1"/>
  <c r="CD52" i="1"/>
  <c r="BG52" i="1"/>
  <c r="BC52" i="1"/>
  <c r="CD51" i="1"/>
  <c r="BG51" i="1"/>
  <c r="BC51" i="1"/>
  <c r="CD50" i="1"/>
  <c r="BG50" i="1"/>
  <c r="BC50" i="1"/>
  <c r="CD49" i="1"/>
  <c r="BG49" i="1"/>
  <c r="BC49" i="1"/>
  <c r="CD48" i="1"/>
  <c r="BG48" i="1"/>
  <c r="BC48" i="1"/>
  <c r="CD47" i="1"/>
  <c r="BG47" i="1"/>
  <c r="BC47" i="1"/>
  <c r="CD46" i="1"/>
  <c r="BG46" i="1"/>
  <c r="BC46" i="1"/>
  <c r="CD45" i="1"/>
  <c r="BG45" i="1"/>
  <c r="BC45" i="1"/>
  <c r="CD44" i="1"/>
  <c r="BG44" i="1"/>
  <c r="BC44" i="1"/>
  <c r="CD43" i="1"/>
  <c r="BG43" i="1"/>
  <c r="BC43" i="1"/>
  <c r="CD42" i="1"/>
  <c r="BG42" i="1"/>
  <c r="BC42" i="1"/>
  <c r="CD41" i="1"/>
  <c r="BG41" i="1"/>
  <c r="BC41" i="1"/>
  <c r="CD40" i="1"/>
  <c r="BG40" i="1"/>
  <c r="BC40" i="1"/>
  <c r="CD39" i="1"/>
  <c r="BG39" i="1"/>
  <c r="BC39" i="1"/>
  <c r="CD38" i="1"/>
  <c r="BG38" i="1"/>
  <c r="BC38" i="1"/>
  <c r="CD37" i="1"/>
  <c r="BG37" i="1"/>
  <c r="BC37" i="1"/>
  <c r="CD36" i="1"/>
  <c r="BG36" i="1"/>
  <c r="BC36" i="1"/>
  <c r="CD35" i="1"/>
  <c r="BG35" i="1"/>
  <c r="BC35" i="1"/>
  <c r="CD34" i="1"/>
  <c r="BG34" i="1"/>
  <c r="BC34" i="1"/>
  <c r="CD33" i="1"/>
  <c r="BG33" i="1"/>
  <c r="BC33" i="1"/>
  <c r="CD32" i="1"/>
  <c r="BG32" i="1"/>
  <c r="BC32" i="1"/>
  <c r="CD31" i="1"/>
  <c r="BG31" i="1"/>
  <c r="BC31" i="1"/>
  <c r="CD30" i="1"/>
  <c r="BG30" i="1"/>
  <c r="BC30" i="1"/>
  <c r="CD29" i="1"/>
  <c r="BG29" i="1"/>
  <c r="BC29" i="1"/>
  <c r="CD28" i="1"/>
  <c r="BG28" i="1"/>
  <c r="BC28" i="1"/>
  <c r="CD27" i="1"/>
  <c r="BG27" i="1"/>
  <c r="BC27" i="1"/>
  <c r="CD26" i="1"/>
  <c r="BG26" i="1"/>
  <c r="BC26" i="1"/>
  <c r="CD25" i="1"/>
  <c r="BG25" i="1"/>
  <c r="BC25" i="1"/>
  <c r="CD24" i="1"/>
  <c r="BG24" i="1"/>
  <c r="BC24" i="1"/>
  <c r="CD23" i="1"/>
  <c r="BG23" i="1"/>
  <c r="BC23" i="1"/>
  <c r="CD22" i="1"/>
  <c r="BG22" i="1"/>
  <c r="BC22" i="1"/>
  <c r="CD21" i="1"/>
  <c r="BG21" i="1"/>
  <c r="BC21" i="1"/>
  <c r="CD20" i="1"/>
  <c r="BG20" i="1"/>
  <c r="BC20" i="1"/>
  <c r="CD19" i="1"/>
  <c r="BG19" i="1"/>
  <c r="BC19" i="1"/>
  <c r="CD18" i="1"/>
  <c r="BG18" i="1"/>
  <c r="BC18" i="1"/>
  <c r="CD17" i="1"/>
  <c r="BG17" i="1"/>
  <c r="BC17" i="1"/>
  <c r="CD16" i="1"/>
  <c r="BG16" i="1"/>
  <c r="BC16" i="1"/>
  <c r="CD15" i="1"/>
  <c r="BG15" i="1"/>
  <c r="BC15" i="1"/>
  <c r="CD14" i="1"/>
  <c r="BG14" i="1"/>
  <c r="BC14" i="1"/>
  <c r="CD13" i="1"/>
  <c r="BG13" i="1"/>
  <c r="BC13" i="1"/>
  <c r="CD12" i="1"/>
  <c r="BG12" i="1"/>
  <c r="BC12" i="1"/>
  <c r="CD11" i="1"/>
  <c r="BG11" i="1"/>
  <c r="BC11" i="1"/>
  <c r="CD10" i="1"/>
  <c r="BG10" i="1"/>
  <c r="BC10" i="1"/>
  <c r="CD9" i="1"/>
  <c r="BG9" i="1"/>
  <c r="BC9" i="1"/>
  <c r="CD8" i="1"/>
  <c r="BG8" i="1"/>
  <c r="BC8" i="1"/>
  <c r="CD7" i="1"/>
  <c r="BG7" i="1"/>
  <c r="BC7" i="1"/>
  <c r="CD6" i="1"/>
  <c r="BG6" i="1"/>
  <c r="BC6" i="1"/>
  <c r="CD5" i="1"/>
  <c r="BG5" i="1"/>
  <c r="BC5" i="1"/>
  <c r="CD4" i="1"/>
  <c r="BG4" i="1"/>
  <c r="BC4" i="1"/>
  <c r="CD3" i="1"/>
  <c r="BG3" i="1"/>
  <c r="BC3" i="1"/>
  <c r="CD2" i="1"/>
  <c r="BG2" i="1"/>
  <c r="BC2" i="1"/>
</calcChain>
</file>

<file path=xl/sharedStrings.xml><?xml version="1.0" encoding="utf-8"?>
<sst xmlns="http://schemas.openxmlformats.org/spreadsheetml/2006/main" count="15282" uniqueCount="8043">
  <si>
    <t>Number of Forward Citations</t>
  </si>
  <si>
    <t>Number of Backward Citations</t>
  </si>
  <si>
    <t>Backward Citations</t>
  </si>
  <si>
    <t>Forward Citations</t>
  </si>
  <si>
    <t>Application Publication Date</t>
  </si>
  <si>
    <t>Grant Date</t>
  </si>
  <si>
    <t>Publication Date</t>
  </si>
  <si>
    <t>Priority Date</t>
  </si>
  <si>
    <t>File Date</t>
  </si>
  <si>
    <t>Est. Expiration Date</t>
  </si>
  <si>
    <t>Earliest Published Date - Simple Family</t>
  </si>
  <si>
    <t>Earliest Published Date - Extended Family</t>
  </si>
  <si>
    <t>Abstract</t>
  </si>
  <si>
    <t>Title</t>
  </si>
  <si>
    <t>Topics</t>
  </si>
  <si>
    <t>Assignee</t>
  </si>
  <si>
    <t>Ultimate Parent</t>
  </si>
  <si>
    <t>Ultimate Subsidiary</t>
  </si>
  <si>
    <t>Original Assignee</t>
  </si>
  <si>
    <t>Relevance</t>
  </si>
  <si>
    <t>PatentStrength</t>
  </si>
  <si>
    <t>Application Number</t>
  </si>
  <si>
    <t>Examiner</t>
  </si>
  <si>
    <t>Art Unit ID</t>
  </si>
  <si>
    <t>Art Unit Description</t>
  </si>
  <si>
    <t>First Claim</t>
  </si>
  <si>
    <t>All Claims</t>
  </si>
  <si>
    <t>Number of Claims</t>
  </si>
  <si>
    <t>Kind Code</t>
  </si>
  <si>
    <t>Inventors</t>
  </si>
  <si>
    <t>First Claim Word Count</t>
  </si>
  <si>
    <t>Status (Active/Expired)</t>
  </si>
  <si>
    <t>Active States (Designated)</t>
  </si>
  <si>
    <t>Active States (Nationalized)</t>
  </si>
  <si>
    <t>Also Published As</t>
  </si>
  <si>
    <t>Expired States (EP Only)</t>
  </si>
  <si>
    <t>Source Jurisdiction</t>
  </si>
  <si>
    <t>First CP Classification</t>
  </si>
  <si>
    <t>All CP Classifications</t>
  </si>
  <si>
    <t>First IP Classification</t>
  </si>
  <si>
    <t>All IP Classifications</t>
  </si>
  <si>
    <t>First US Classification</t>
  </si>
  <si>
    <t>All US Classifications</t>
  </si>
  <si>
    <t>PatentStrength Range</t>
  </si>
  <si>
    <t>Simple Family ID</t>
  </si>
  <si>
    <t>Simple Family Members</t>
  </si>
  <si>
    <t>Disclaimed To</t>
  </si>
  <si>
    <t>Disclaimed By</t>
  </si>
  <si>
    <t>IP Cost</t>
  </si>
  <si>
    <t>Extended Family ID</t>
  </si>
  <si>
    <t>Extended Family Members</t>
  </si>
  <si>
    <t>IPID</t>
  </si>
  <si>
    <t>Status Reason</t>
  </si>
  <si>
    <t>Litigation Count</t>
  </si>
  <si>
    <t>Publication Number</t>
  </si>
  <si>
    <t>Innography URL</t>
  </si>
  <si>
    <t>Legal Status</t>
  </si>
  <si>
    <t>PDF URL</t>
  </si>
  <si>
    <t>PDF URL (Excel Hyperlink)</t>
  </si>
  <si>
    <t>Full Document Link</t>
  </si>
  <si>
    <t>PCT Application ID</t>
  </si>
  <si>
    <t>Priority Document</t>
  </si>
  <si>
    <t>Simple Priority Document</t>
  </si>
  <si>
    <t>Extended Priority Document</t>
  </si>
  <si>
    <t>Rejection Type 101</t>
  </si>
  <si>
    <t>Rejection Type 102</t>
  </si>
  <si>
    <t>Rejection Type 103</t>
  </si>
  <si>
    <t>Rejection Type 112</t>
  </si>
  <si>
    <t>102 - Rejected By Assignee</t>
  </si>
  <si>
    <t>103 - Rejected By Assignee</t>
  </si>
  <si>
    <t>Final Rejection Date</t>
  </si>
  <si>
    <t>Non Final Rejection Date</t>
  </si>
  <si>
    <t>Law Firm</t>
  </si>
  <si>
    <t>Agent</t>
  </si>
  <si>
    <t>Latest Rejection Status</t>
  </si>
  <si>
    <t>Court</t>
  </si>
  <si>
    <t>Defendants</t>
  </si>
  <si>
    <t>Global Case ID</t>
  </si>
  <si>
    <t>Judge</t>
  </si>
  <si>
    <t>Plaintiffs</t>
  </si>
  <si>
    <t>Source</t>
  </si>
  <si>
    <t>Innography URL (Excel Hyperlink)</t>
  </si>
  <si>
    <t>Project: Name</t>
  </si>
  <si>
    <t>Project: Labels</t>
  </si>
  <si>
    <t>Project: Added By</t>
  </si>
  <si>
    <t>Project: Date Added</t>
  </si>
  <si>
    <t>Project: Note</t>
  </si>
  <si>
    <t>First Page Clipping</t>
  </si>
  <si>
    <t>Independent Claim A</t>
  </si>
  <si>
    <t>Independent Claim B</t>
  </si>
  <si>
    <t>Independent Claim C</t>
  </si>
  <si>
    <t>Independent Claim D</t>
  </si>
  <si>
    <t>Independent Claim E</t>
  </si>
  <si>
    <t>Independent Claim F</t>
  </si>
  <si>
    <t>Independent Claim G</t>
  </si>
  <si>
    <t>Independent Claim H</t>
  </si>
  <si>
    <t>Independent Claim I</t>
  </si>
  <si>
    <t>Independent Claim J</t>
  </si>
  <si>
    <t>Independent Claim K</t>
  </si>
  <si>
    <t>Independent Claim L</t>
  </si>
  <si>
    <t>Independent Claim M</t>
  </si>
  <si>
    <t>Independent Claim N</t>
  </si>
  <si>
    <t>Independent Claim O</t>
  </si>
  <si>
    <t>Independent Claim P</t>
  </si>
  <si>
    <t>Independent Claim Q</t>
  </si>
  <si>
    <t>Independent Claim R</t>
  </si>
  <si>
    <t>Independent Claim S</t>
  </si>
  <si>
    <t>Independent Claim T</t>
  </si>
  <si>
    <t>Independent Claim U</t>
  </si>
  <si>
    <t>Independent Claim V</t>
  </si>
  <si>
    <t>Independent Claim W</t>
  </si>
  <si>
    <t>Independent Claim X</t>
  </si>
  <si>
    <t>Independent Claim Y</t>
  </si>
  <si>
    <t>Independent Claim Z</t>
  </si>
  <si>
    <t>Independent Claim AA</t>
  </si>
  <si>
    <t>Independent Claim AB</t>
  </si>
  <si>
    <t>Independent Claim AC</t>
  </si>
  <si>
    <t>Independent Claim AD</t>
  </si>
  <si>
    <t>Independent Claim AE</t>
  </si>
  <si>
    <t>Independent Claim AF</t>
  </si>
  <si>
    <t>Independent Claim AG</t>
  </si>
  <si>
    <t>Independent Claim AH</t>
  </si>
  <si>
    <t>Independent Claim AI</t>
  </si>
  <si>
    <t>Independent Claim AJ</t>
  </si>
  <si>
    <t>Independent Claim AK</t>
  </si>
  <si>
    <t>2022-10-13</t>
  </si>
  <si>
    <t>2011-09-09</t>
  </si>
  <si>
    <t>2022-06-27</t>
  </si>
  <si>
    <t>2031-09-09</t>
  </si>
  <si>
    <t>2013-03-14</t>
  </si>
  <si>
    <t>A method for a connection mechanism in a public cloud network is disclosed. The method includes acquiring a plurality of connection credentials from a public cloud portal (PCP) Admin Device; pairing and registration with a metaverse virtual private network (VPN) server (MVVS) from a metaverse app gateway (MVAG); establishing a plurality of initial VPN tunnels between the MVVS and the MVAG; connecting to the MVAG on demand between a MVVS smart device client and the MVAG through the MVVS; and running a plurality of vertical peer-to-peer (P2P) private and secure MVVS smart device client applications between at least one MVVS smart device client and one of at least one MVAG smart device client at least one MVAG network service and another MVVS smart device client.</t>
  </si>
  <si>
    <t>Metaverse application gateway connection mechanism for use in a private communication architecture</t>
  </si>
  <si>
    <t>Primes Lab Inc.</t>
  </si>
  <si>
    <t>Primes</t>
  </si>
  <si>
    <t>US17/849741</t>
  </si>
  <si>
    <t>LINH T NGUYEN</t>
  </si>
  <si>
    <t>2459: Computer Networks</t>
  </si>
  <si>
    <t xml:space="preserve">A method for a connection mechanism in a public cloud network, the method comprising:
setting up at least one public cloud portal (PCP), at least one virtual machine server (VMS), at least one PCP Admin Device, at least one metaverse virtual private network (VPN) server (MVVS), at least one VPN tunnel, and at least one MVVS smart device client on a side of the at least one MVVS to provide a plurality of cloud-based web services, at least one metaverse application (MA) which includes at least one private router, at least one private local area network (LAN), at least one metaverse app gateway (MVAG), at least one MVAG Admin Device, at least one MVAG network service, and at least one MVAG smart device client on a side of a MVAG private LAN in a client server relationship;
acquiring a plurality of connection credentials from a PCP Admin Device of the at least one PCP Admin Device;
pairing and registration with a MVVS of the at least one MVVS from a MVAG of the at least one MVAG;
establishing a plurality of initial VPN tunnels between the MVVS and the MVAG;
connecting to the MVAG on demand between a MVVS smart device client of the at least one MVVS smart device client and the MVAG through the MVVS; and
running a plurality of vertical peer-to-peer (P2P) private and secure MVVS smart device client applications between the at least one MVVS smart device client and one of the at least one MVAG smart device client, the at least one MVAG network service and another MVVS smart device client;
wherein the connection mechanism is a P2P private and secure connection mechanism between the at least one MVVS smart device client and at least one of the MVAG, the at least one MVAG smart device client, the at least one MVAG network service or the another MVVS smart device client;
wherein the at least one PCP and the at least one VMS which includes the at least one MVVS reside in a hyperscale data center located on the public cloud network;
wherein the at least one MA along with the at least one MVAG reside in a plurality of metaverse provider's application environments.
</t>
  </si>
  <si>
    <t>1. A method for a connection mechanism in a public cloud network, the method comprising:
setting up at least one public cloud portal (PCP), at least one virtual machine server (VMS), at least one PCP Admin Device, at least one metaverse virtual private network (VPN) server (MVVS), at least one VPN tunnel, and at least one MVVS smart device client on a side of the at least one MVVS to provide a plurality of cloud-based web services, at least one metaverse application (MA) which includes at least one private router, at least one private local area network (LAN), at least one metaverse app gateway (MVAG), at least one MVAG Admin Device, at least one MVAG network service, and at least one MVAG smart device client on a side of a MVAG private LAN in a client server relationship;
acquiring a plurality of connection credentials from a PCP Admin Device of the at least one PCP Admin Device;
pairing and registration with a MVVS of the at least one MVVS from a MVAG of the at least one MVAG;
establishing a plurality of initial VPN tunnels between the MVVS and the MVAG;
connecting to the MVAG on demand between a MVVS smart device client of the at least one MVVS smart device client and the MVAG through the MVVS; and
running a plurality of vertical peer-to-peer (P2P) private and secure MVVS smart device client applications between the at least one MVVS smart device client and one of the at least one MVAG smart device client, the at least one MVAG network service and another MVVS smart device client;
wherein the connection mechanism is a P2P private and secure connection mechanism between the at least one MVVS smart device client and at least one of the MVAG, the at least one MVAG smart device client, the at least one MVAG network service or the another MVVS smart device client;
wherein the at least one PCP and the at least one VMS which includes the at least one MVVS reside in a hyperscale data center located on the public cloud network;
wherein the at least one MA along with the at least one MVAG reside in a plurality of metaverse provider's application environments.
2. The method of claim 1, wherein the plurality of connection credentials include a plurality of MVVS server credentials and a plurality of MVVS client credentials.
3. The method of claim 2, wherein the at least one PCP is accessed by the at least one PCP Admin Device to log in and acquire the plurality of MVVS server credentials and the plurality of MVVS client credentials.
4. The method of claim 2, wherein the plurality of MVVS server credentials are sent to a MVAG Admin Device of the at least one MVAG Admin Device, and the plurality of MVVS client credentials are sent to the MVVS smart device client for a connection.
5. The method of claim 2, wherein the plurality of MVVS server credentials include a MVVS virtual machine server domain name and a MVVS virtual machine server login passcode, and the plurality of MVVS client credentials include a MVVS smart device client VPN profile file and a MVVS smart device client VPN login password.
6. The method of claim 2, wherein the plurality of MVVS server credentials are imported by a MVAG Admin Device of the at least one MVAG Admin Device to set into the MVAG in order for the MVAG to pair and register with the MVVS.
7. The method of claim 1, wherein the step of establishing the plurality of initial VPN tunnels between the MVVS and the MVAG comprises:
calling back, by the at least one MVVS in the public cloud network, the at least one MVAG in a private LAN of the at least one MA to enable a first VPN channel;
establishing, by the at least one MVAG, a first VPN tunnel with the at least one MVVS, if the first VPN channel is enabled by the MVVS;
enabling, by the at least one MVAG, a third VPN channel with the at least one MVVS, if a plurality of proper credentials are established;
establishing, by the MVVS, a third VPN tunnel on demand between the MVVS and the MVAG, pending a completion in establishing a second VPN tunnel on demand between the MVVS smart device client and the MVVS;
enabling, by the MVVS, a second VPN channel on demand between the MVVS and the at least one MVVS smart device client from a cloud in an Internet; and
establishing, by the at least one MVVS smart device client, the second VPN tunnel on demand between the MVVS and the at least one MVVS smart device client;
wherein the second VPN tunnel on demand and the third VPN tunnel on demand are channeled into a single VPN tunnel between the MVVS smart device client and the MVAG through the MVVS, and ultimately to the at least one MVAG smart device client, the at least one MVAG network service and the another MVVS smart device client.
8. The method of claim 1, wherein the step of establishing the plurality of initial VPN tunnels between the MVVS and the MVAG comprises:
calling back, by the at least one MVVS in the public cloud network, the at least one MVAG in a private LAN of the at least one MA to enable a first VPN channel;
establishing, by the at least one MVAG, a first VPN tunnel with the at least one MVVS, if the first VPN channel is enabled by the MVVS;
enabling, by the MVVS, a second VPN channel on demand between the MVVS and at least one MVVS smart device client from a cloud in an Internet; and
establishing, by the at least one MVVS smart device client, the second VPN tunnel on demand between the MVVS and the at least one MVVS smart device client;
wherein the first VPN tunnel and the second VPN tunnel on demand are channeled into a single VPN tunnel between the MVVS smart device client and the MVAG through the MVVS, and ultimately to the at least one MVAG smart device client, the at least one MVAG network service and the another MVVS smart device client.
9. The method of claim 1, wherein the step of connecting to the MVAG on demand between the MVVS smart device client and the MVAG through the MVVS comprises:
starting, by the at least one MVVS smart device client, request for a connection to the at least one MVVS through a MVVS VPN client profile to establish a second VPN tunnel on demand, in case that the at least one MVVS smart device client intends to access to the at least one MVAG smart device client or a metaverse network service (MVNS) on a private LAN of the at least one MA.
10. The method of claim 1, wherein the step of running the plurality of vertical P2P private and secure MVVS smart device client applications between the at least one MVVS smart device client and the one of the at least one MVAG smart device client, the at least one MVAG network service and the another MVVS smart device client comprises:
joining, by the MVVS smart device client in the public cloud network, a private and secure communication session as a guest with a host MVVS smart device client;
wherein the MVVS smart device client is available for access in a LAN mode for a VPN connection from the at least one MVVS smart device client;
wherein the private and secure communication session includes at least one of a video, an audio, a text or an application, and the application includes a program, an utility, an operation or a transaction that is recognizable by the MVVS smart device client and the host MVVS smart device client;
wherein the at least one MVAG smart device client along with the at least one MVAG network service on a private LAN of the at least one MVAG are available for access in the LAN mode for the VPN connection from the at least one MVVS smart device client.
11. The method of claim 10, wherein the application is a crypto currency application including a program, an utility, or a transaction that is recognizable by the at least one MVVS smart device client and the another MVVS smart device client, when the plurality of vertical P2P private and secure MVVS smart device client applications between the at least one MVVS smart device client and the another MVVS smart device client is run.
12. The method of claim 10, wherein the MVVS is configured on demand to offer the plurality of choices among geo-blocking, geo-portal, or geo-home in accessing an on-line content, when the plurality of vertical P2P private and secure MVVS smart device client applications between the at least one MVVS smart device client and the another MVVS smart device client is run.
13. The method of claim 1, wherein the at least one PCP comprises:
an Internet service; and
a program that executes instructions stored in memory to instruct the at least one PCP to:
create and manage an authorized client list to accommodate the at least one PCP Admin Device;
create and manage the plurality of connection credentials including a plurality of MVVS server credentials and a plurality of MVVS client credentials; and
conduct the step of acquiring the plurality of connection credentials from the PCP Admin Device.
14. The method of claim 1, wherein the at least one VMS comprises:
an Internet service; and
a program that executes instructions stored in memory to instruct the at least one VMS to:
create and manage an authorized client list to accommodate the at least one PCP Admin Device, the at least one MVAG, and the at least one MVVS; and
manage a communication between the MVVS and the MVVS smart device client.
15. The method of claim 1, wherein the at least one PCP Admin device comprises:
a computing device;
a connection to a network; and
a program that executes instructions stored in memory to instruct the at least one PCP Admin Device to:
establish a first network service running in a LAN mode;
establish a second network service based on Internet protocol;
establish a third network service based on an industry standard network protocol; and
conduct the step of acquiring the connection credentials from the PCP Admin Device.
16. The method of claim 1, wherein the at least one MVVS comprises:
a computing device;
a connection to a network; and
a program that executes instructions stored in memory to instruct the at least one MVVS to:
create and manage a first authorized client list to accommodate the at least one MVVS smart device client through at least one VPN connection;
create and manage a second authorized client list to accommodate the at least one MVAG through the at least one VPN connection;
conduct the step of pairing and registration with the MVVS from the MVAG;
conduct the step of establishing the plurality of initial VPN tunnels between the MVVS and the MVAG; and
conduct the step of connecting to the MVAG on demand between the MVVS smart device client and the MVAG through the MVVS.
17. The method of claim 1, wherein the at least one MVVS smart device client comprises:
a computing device;
a connection to a network; and
a program that executes instructions stored in memory to instruct the MVVS smart device client to:
establish a first network service based on Internet protocol;
establish a second network service based on an industry standard network protocol;
create and manage an Internet connection with the at least one VMS and the at least one MVVS through a VPN connection;
create and manage a connection with the at least one MVAG smart device client through the VPN connection;
conduct the step of connecting to the MVAG on demand between the MVVS smart device client and the MVAG through the MVVS; and
conduct the step of running the plurality of vertical P2P private and secure MVVS smart device client applications between the at least one MVVS smart device client and the one of the at least one MVAG smart device client, the at least one MVAG network service and the another MVVS smart device client.
18. The method of claim 1, wherein the at least one metaverse application (MA) comprises:
an Internet router;
at least one private LAN;
at least one metaverse network service;
the at least one MVAG smart device client; and
the at least one MVAG.
19. The method of claim 1, wherein the at least one MVAG comprises:
a computing device;
a connection to a network; and
a program that executes instructions stored in memory to instruct the at least one MVAG to:
create and manage an authorized client list to accommodate the at least one MVVS through a VPN connection;
conduct the step of pairing and registration with the MVVS from the MVAG;
conduct the step of establishing the plurality of initial VPN tunnels between the MVVS and the MVAG;
conduct the step of connecting to the MVAG on demand between the MVVS smart device client and the MVAG through the MVVS; and
conduct the step of running the plurality of vertical P2P private and secure MVVS smart device client applications between the at least one MVVS smart device client and the one of the at least one MVAG smart device client, the at least one MVAG network service and the another MVVS smart device client.
20. The method of claim 1, wherein the at least one MVAG network service comprises:
a first network service running in a LAN mode to avoid monitoring or recording due to a strength of an industry recognized VPN tunnel;
a second network service based on Internet protocol;
a third network service based on an industry standard network protocol;
a fourth network service that is platform agnostic and simultaneously compatible with all existing fragmented IoT device; and
a fifth network service based on the step of connecting to the MVAG on demand between the MVVS smart device client and the MVAG through the MVVS.
21. The method of claim 1, wherein the at least one MVAG smart device client comprises:
a computing device;
a connection to a network; and
a program that executes instructions stored in memory to instruct the at least one MVAG smart device client to:
establish a first network service running in a LAN mode;
establish a second network service based on Internet protocol;
establish a third network service based on an industry standard network protocol;
conduct the step of connecting to the MVAG on demand between the MVVS smart device client and the MVAG through the MVVS; and
conduct the step of running the plurality of vertical P2P private and secure MVVS smart device client applications between the at least one MVVS smart device client and the at least one MVAG smart device client.
22. The method of claim 1, wherein the at least one MVAG Admin device comprises:
a computing device;
a connection to a network; and
a program that executes instructions stored in memory to instruct the at least one MVAG Admin Device to:
establish a first network service running in a LAN mode;
establish a second network service based on Internet protocol;
establish a third network service based on an industry standard network protocol; and
conduct the step of pairing and registration with the MVVS from the MVAG.
23. The method of claim 1, wherein the at least one VPN tunnel comprises:
at least one first network service based on Internet protocol;
at least one second network service based on an industry standard network protocol;
a privacy and a security, as well as a future proof interoperability and compatibility in a communication;
a LAN mode access through the at least one VPN tunnel;
at least one first VPN tunnel of the plurality of initial VPN tunnels between the MVVS and the MVAG, and at least one second VPN tunnel between the MVVS smart device client and the MVAG through the MVVS.
24. A method for a connection mechanism between at least one metaverse virtual private network (VPN) server (MVVS) smart device client and one of at least one metaverse app gateway (MVAG) smart device client and at least one MVAG network service through a public cloud network, the method comprising:
connecting to a MVAG on demand between a MVVS smart device client of the at least one MVVS smart device client and the MVAG through the MVVS; and
running a plurality of vertical peer-to-peer (P2P) private and secure MVVS smart device client applications between the at least one MVVS smart device client and one of the at least one MVAG smart device client, the at least one MVAG network service and another MVVS smart device client;
wherein the MVVS smart device client and the one of the at least one MVAG smart device client, the at least one MVAG network service and the another MVVS smart device client privately and securely communicates with each other through the public cloud network.
25. A non-transitory computer-readable medium storing executable instructions that, in response to execution, cause a computer to perform operations comprising:
setting up a metaverse virtual private network (VPN) server (MVVS) and a MVVS smart device client in a client server relationship;
conducting to establish a plurality of initial VPN tunnels between the MVVS and a metaverse app gateway (MVAG); and
conducting to connect to the MVAG on demand between the MVVS smart device client and the MVAG through the MVVS;
wherein the MVVS includes a MVVS_Device Utility on a public cloud network.
26. A non-transitory computer-readable medium storing executable instructions that, in response to execution, cause a computer to perform operations comprising:
setting up a metaverse virtual private network (VPN) server (MVVS) and a metaverse app gateway (MVAG) in a client server relationship;
conducting to pair and registration with the MVVS from the MVAG;
conducting to establish a plurality of initial VPN tunnels between the MVVS and the MVAG;
conducting to connect to the MVAG on demand between a MVVS smart device client and the MVAG through the MVVS; and
conducting to run a plurality of vertical peer-to-peer (P2P) private and secure MVVS smart device client applications between the at least one MVVS smart device client and one of the at least one MVAG smart device client, at least one MVAG network service and another MVVS smart device client.
27. A method for communication, the method comprising:
setting up at least one virtual machine server (VMS), at least one metaverse virtual private network (VPN) server (MVVS), at least one MVVS smart device client on a side of the at least one MVVS to provide a plurality of cloud-based web services, at least one metaverse app gateway (MVAG), and at least one MVAG smart device client on a side of the at least one MVAG in a client server relationship;
wherein the at least one VMS includes the at least one MVVS to provide the plurality of cloud-based web services;
wherein the at least one VMS and the at least one MVVS resides in a hyperscale data center, and the at least one MVAG resides in a plurality of metaverse provider's application environments;
wherein the at least one VMS is scalable in quantity and size;
wherein at least one of the hyperscale datacenter or a service provider constructs and deploys a plurality of independent MVVSs in a plurality of corresponding VMS in order to service a plurality of corresponding MVAG and a plurality of corresponding MVAG smart device clients;
wherein a community pair of peer-to-peer (P2P) communication relationship between the at least one MVVS smart device client and the at least one MVAG smart device client is constructed and deployed by an Internet metaverse provider that maintains the at least one VMS;
wherein the Internet metaverse provider offers to an metaverse provider to host the MVVS in the at least one VMS;
wherein the Internet metaverse provider offers to the metaverse provider a separate private and secure MVAG to install the MVAG in the metaverse provider's own LAN;
wherein a metaverse subscriber establishes from anywhere, a P2P communication between the at least one MVVS smart device client and the at least one MVAG smart device client, residing on the metaverse provider's private and secure LAN.
28. A non-transitory computer-readable medium storing executable instructions that, in response to execution, cause a computer to perform operations comprising:
setting up at least one metaverse app gateway (MVAG) smart device client and a metaverse virtual private network (VPN) server (MVVS) smart device client application in a client server relationship;
wherein the MVVS smart device client application includes an application Utility on a public cloud network;
wherein a functionality of the at least one MVAG smart device client is defined by a class code sent to the MVVS smart device client application;
wherein the plurality of vendor-specific software modules or applications are loaded by the MVVS smart device client application to support a corresponding MVAG smart device client of the at least one MVAG smart device client from different manufacturers;
wherein a plurality of device classes of the at least one MVAG smart device client include an audio, a video, a human interface device, an IP Camera, a Smart Lock, a Smart Lightbulb, a remote control, a thermostat, a printer, a mass storage, a Bluetooth, an application specific, and a vendor specific.</t>
  </si>
  <si>
    <t>A1</t>
  </si>
  <si>
    <t>Chen, Ben Wei</t>
  </si>
  <si>
    <t>Active</t>
  </si>
  <si>
    <t>US</t>
  </si>
  <si>
    <t>H04L0063027200</t>
  </si>
  <si>
    <t>H04L0063027200 | H04L0063087600 | H04L0063083000 | H04L0067104000</t>
  </si>
  <si>
    <t>H04L00940000</t>
  </si>
  <si>
    <t>20th-30th Percentile</t>
  </si>
  <si>
    <t>US20220329569A1</t>
  </si>
  <si>
    <t>$8861</t>
  </si>
  <si>
    <t>US20130067550 A1 | CN103001999 A | TW201312370 A | US20140359704 A1 | US20150195270 A1 | US9203807 B2 | GB2528997 A | CN105323138 A | GB2531831 A | TW201606520 A | GB2532831 A | GB2532832 A | CN103001999 B | TW201616374 A | TWI537744 B | CN105991642 A | TWI545446 B | CN106257888 A | TW201635164 A | CN106161394 A | GB2532831 B | GB2532832 B | TW201701169 A | GB2544675 A | TWI574164 B | US9781087 B2 | GB2528997 B | US9935930 B2 | TWI629598 B | TWI632465 B | US10237253 B2 | GB2544675 B | CN105323138 B | CN105991642 B | CN106161394 B | US10601810 B2 | US20200204536 A1 | US20210185017 A1 | US20210234835 A1 | CN113542389 A | GB2531831 B | GB202115368 D | US11356417 B2 | CN114928459 A | TWI769965 B | CN115208603 A | TW202233007 A | US20150163213 A1 | US20150288678 A1 | GB2607362 A | US20220385638 A1 | US20220329569 A1</t>
  </si>
  <si>
    <t>I-000230690213</t>
  </si>
  <si>
    <t>20 years from 2011-09-09 (file date of patent US09203807)</t>
  </si>
  <si>
    <t>https://patentscout.innography.com/share/Idovxr6strBcCBLQzUEsVg%3D%3D</t>
  </si>
  <si>
    <t>2022-06-15-ASSIGNMENT (PRIMES LAB INC.)|2022-08-03-INFORMATION ON STATUS: PATENT APPLICATION AND GRANTING PROCEDURE IN GENERAL</t>
  </si>
  <si>
    <t>https://patentscout.innography.com/share/Idovxr6strBcCBLQzUEsVg%3D%3D/download</t>
  </si>
  <si>
    <t>https://ppubs.uspto.gov/pubwebapp/external.html?q=20220329569.pn.</t>
  </si>
  <si>
    <t>US20220329569 A1</t>
  </si>
  <si>
    <t>US20130067550 A1</t>
  </si>
  <si>
    <t>US Applications</t>
  </si>
  <si>
    <t>1. A method for a connection mechanism in a public cloud network, the method comprising:
setting up at least one public cloud portal (PCP), at least one virtual machine server (VMS), at least one PCP Admin Device, at least one metaverse virtual private network (VPN) server (MVVS), at least one VPN tunnel, and at least one MVVS smart device client on a side of the at least one MVVS to provide a plurality of cloud-based web services, at least one metaverse application (MA) which includes at least one private router, at least one private local area network (LAN), at least one metaverse app gateway (MVAG), at least one MVAG Admin Device, at least one MVAG network service, and at least one MVAG smart device client on a side of a MVAG private LAN in a client server relationship;
acquiring a plurality of connection credentials from a PCP Admin Device of the at least one PCP Admin Device;
pairing and registration with a MVVS of the at least one MVVS from a MVAG of the at least one MVAG;
establishing a plurality of initial VPN tunnels between the MVVS and the MVAG;
connecting to the MVAG on demand between a MVVS smart device client of the at least one MVVS smart device client and the MVAG through the MVVS; and
running a plurality of vertical peer-to-peer (P2P) private and secure MVVS smart device client applications between the at least one MVVS smart device client and one of the at least one MVAG smart device client, the at least one MVAG network service and another MVVS smart device client;
wherein the connection mechanism is a P2P private and secure connection mechanism between the at least one MVVS smart device client and at least one of the MVAG, the at least one MVAG smart device client, the at least one MVAG network service or the another MVVS smart device client;
wherein the at least one PCP and the at least one VMS which includes the at least one MVVS reside in a hyperscale data center located on the public cloud network;
wherein the at least one MA along with the at least one MVAG reside in a plurality of metaverse provider's application environments.</t>
  </si>
  <si>
    <t>24. A method for a connection mechanism between at least one metaverse virtual private network (VPN) server (MVVS) smart device client and one of at least one metaverse app gateway (MVAG) smart device client and at least one MVAG network service through a public cloud network, the method comprising:
connecting to a MVAG on demand between a MVVS smart device client of the at least one MVVS smart device client and the MVAG through the MVVS; and
running a plurality of vertical peer-to-peer (P2P) private and secure MVVS smart device client applications between the at least one MVVS smart device client and one of the at least one MVAG smart device client, the at least one MVAG network service and another MVVS smart device client;
wherein the MVVS smart device client and the one of the at least one MVAG smart device client, the at least one MVAG network service and the another MVVS smart device client privately and securely communicates with each other through the public cloud network.</t>
  </si>
  <si>
    <t>25. A non-transitory computer-readable medium storing executable instructions that, in response to execution, cause a computer to perform operations comprising:
setting up a metaverse virtual private network (VPN) server (MVVS) and a MVVS smart device client in a client server relationship;
conducting to establish a plurality of initial VPN tunnels between the MVVS and a metaverse app gateway (MVAG); and
conducting to connect to the MVAG on demand between the MVVS smart device client and the MVAG through the MVVS;
wherein the MVVS includes a MVVS_Device Utility on a public cloud network.</t>
  </si>
  <si>
    <t>26. A non-transitory computer-readable medium storing executable instructions that, in response to execution, cause a computer to perform operations comprising:
setting up a metaverse virtual private network (VPN) server (MVVS) and a metaverse app gateway (MVAG) in a client server relationship;
conducting to pair and registration with the MVVS from the MVAG;
conducting to establish a plurality of initial VPN tunnels between the MVVS and the MVAG;
conducting to connect to the MVAG on demand between a MVVS smart device client and the MVAG through the MVVS; and
conducting to run a plurality of vertical peer-to-peer (P2P) private and secure MVVS smart device client applications between the at least one MVVS smart device client and one of the at least one MVAG smart device client, at least one MVAG network service and another MVVS smart device client.</t>
  </si>
  <si>
    <t>27. A method for communication, the method comprising:
setting up at least one virtual machine server (VMS), at least one metaverse virtual private network (VPN) server (MVVS), at least one MVVS smart device client on a side of the at least one MVVS to provide a plurality of cloud-based web services, at least one metaverse app gateway (MVAG), and at least one MVAG smart device client on a side of the at least one MVAG in a client server relationship;
wherein the at least one VMS includes the at least one MVVS to provide the plurality of cloud-based web services;
wherein the at least one VMS and the at least one MVVS resides in a hyperscale data center, and the at least one MVAG resides in a plurality of metaverse provider's application environments;
wherein the at least one VMS is scalable in quantity and size;
wherein at least one of the hyperscale datacenter or a service provider constructs and deploys a plurality of independent MVVSs in a plurality of corresponding VMS in order to service a plurality of corresponding MVAG and a plurality of corresponding MVAG smart device clients;
wherein a community pair of peer-to-peer (P2P) communication relationship between the at least one MVVS smart device client and the at least one MVAG smart device client is constructed and deployed by an Internet metaverse provider that maintains the at least one VMS;
wherein the Internet metaverse provider offers to an metaverse provider to host the MVVS in the at least one VMS;
wherein the Internet metaverse provider offers to the metaverse provider a separate private and secure MVAG to install the MVAG in the metaverse provider's own LAN;
wherein a metaverse subscriber establishes from anywhere, a P2P communication between the at least one MVVS smart device client and the at least one MVAG smart device client, residing on the metaverse provider's private and secure LAN.</t>
  </si>
  <si>
    <t>28. A non-transitory computer-readable medium storing executable instructions that, in response to execution, cause a computer to perform operations comprising:
setting up at least one metaverse app gateway (MVAG) smart device client and a metaverse virtual private network (VPN) server (MVVS) smart device client application in a client server relationship;
wherein the MVVS smart device client application includes an application Utility on a public cloud network;
wherein a functionality of the at least one MVAG smart device client is defined by a class code sent to the MVVS smart device client application;
wherein the plurality of vendor-specific software modules or applications are loaded by the MVVS smart device client application to support a corresponding MVAG smart device client of the at least one MVAG smart device client from different manufacturers;
wherein a plurality of device classes of the at least one MVAG smart device client include an audio, a video, a human interface device, an IP Camera, a Smart Lock, a Smart Lightbulb, a remote control, a thermostat, a printer, a mass storage, a Bluetooth, an application specific, and a vendor specific.</t>
  </si>
  <si>
    <t>US8028021 B2 | US8788951 B2 | US20080214253 A1 | US20090100352 A1 | US20110014932 A1 | US20130111366 A1</t>
  </si>
  <si>
    <t>US20140292810 A1 | US9552653 B2 | WO2018044721 A1 | US10445932 B2 | CN110114123 A | USD903698 S1 | US10864406 B2 | US10898760 B2 | US10974094 B2 | USD916774 S1 | US11081224 B2 | US11139061 B2 | US11145398 B2 | US11145399 B2 | US11170886 B2 | US11175728 B2 | US11183288 B2 | US11200870 B2 | US11206373 B2 | US11210808 B2 | US11219799 B2 | US11233973 B1 | US20220030197 A1 | US11280937 B2 | US11289185 B2 | US11295849 B2 | US11295850 B2 | US11298591 B2 | US11311791 B2 | US11338190 B2 | US11347960 B2 | US11383134 B2 | US11400344 B2 | US20210303075 A1 | US11425189 B2 | US20220253149 A1 | US20220253200 A1 | US11445232 B2 | US20210160693 A1 | US11475650 B2 | US11480791 B2 | US11481963 B2 | US11496571 B2 | US11510027 B2 | US11514656 B2 | US11514673 B2 | US11516297 B2 | US11521296 B2</t>
  </si>
  <si>
    <t>2014-03-20</t>
  </si>
  <si>
    <t>2016-05-10</t>
  </si>
  <si>
    <t>2012-09-17</t>
  </si>
  <si>
    <t>2013-09-16</t>
  </si>
  <si>
    <t>Disclosed herein are a metaverse client terminal and method for providing a metaverse space capable of enabling interaction between users. The metaverse client terminal includes a sensing data collection unit a motion state determination unit a server interface unit and a metaverse space provision unit. The sensing data collection unit collects sensing data regarding a motion of a first user. The motion state determination unit determines a motion state of the first user and generates state information data of the first user. The server interface unit transmits the state information data of the first user to a metaverse server and receives metaverse information data and state information data of a second user. The metaverse space provision unit generates a metaverse space generates a first avatar and a second avatar incorporates the first and second avatars into the metaverse space and provides the metaverse to the first user.</t>
  </si>
  <si>
    <t>Metaverse client terminal and method for providing metaverse space capable of enabling interaction between users</t>
  </si>
  <si>
    <t>Electronics And Telecommunications Research Institute</t>
  </si>
  <si>
    <t>US14/027592</t>
  </si>
  <si>
    <t>WILLIAM D TITCOMB</t>
  </si>
  <si>
    <t>2178: Graphical User Interface and Document Processing</t>
  </si>
  <si>
    <t xml:space="preserve">A metaverse client terminal for providing a metaverse space capable of enabling interaction between users, the metaverse client terminal comprising:
a sensing data collection unit configured to collect sensing data regarding a motion of a first user acquired by a sensor;
a motion state determination unit configured to determine a motion state of the first user based on the sensing data, and to generate state information data of the determined motion state of the first user;
a server interface unit configured to transmit the state information data of the first user to a metaverse server, and to receive metaverse information data used to construct a metaverse space and state information data of a second user located in a space different from that of the first user from the metaverse server; and
a metaverse space provision unit configured to generate a metaverse space using the received metaverse information data, to generate a first avatar moving in conjunction with the motion of the first user and a second avatar moving in conjunction with the motion of the second user based on the state information data of the first and second users, and to incorporate the first and second avatars into the metaverse space and provide the metaverse to the first user.
</t>
  </si>
  <si>
    <t>1. A metaverse client terminal for providing a metaverse space capable of enabling interaction between users, the metaverse client terminal comprising:
a sensing data collection unit configured to collect sensing data regarding a motion of a first user acquired by a sensor;
a motion state determination unit configured to determine a motion state of the first user based on the sensing data, and to generate state information data of the determined motion state of the first user;
a server interface unit configured to transmit the state information data of the first user to a metaverse server, and to receive metaverse information data used to construct a metaverse space and state information data of a second user located in a space different from that of the first user from the metaverse server; and
a metaverse space provision unit configured to generate a metaverse space using the received metaverse information data, to generate a first avatar moving in conjunction with the motion of the first user and a second avatar moving in conjunction with the motion of the second user based on the state information data of the first and second users, and to incorporate the first and second avatars into the metaverse space and provide the metaverse to the first user.
2. The metaverse client terminal of claim 1, further comprising a device control unit configured to control an actuator that is capable of controlling a motion intensity of the first user based on the state information data of the first user.
3. The metaverse client terminal of claim 2, further comprising a sensing data analysis unit configured to determine whether the sensing data collected by the sensing data collection unit corresponds to sensing data regarding a speed of the first user, sensing data regarding an action of the first user, or sensing data regarding a biological state of the first user.
4. The metaverse client terminal of claim 3, wherein the motion state determination unit, if the sensing data collected by the sensing data collection unit corresponds to the sensing data regarding a speed of the first user, generates movement information data used to be incorporated into a speed and location of the first avatar in the metaverse space as the state information data of the first user.
5. The metaverse client terminal of claim 4, wherein the motion state determination unit, if the sensing data collected by the sensing data collection unit corresponds to the sensing data regarding an action of the first user, generates action information data used to be incorporated into an action of the first avatar in the metaverse space as the state information data of the first user.
6. The metaverse client terminal of claim 5, wherein the motion state determination unit, if the sensing data collected by the sensing data collection unit corresponds to the sensing data regarding a biological state of the first user, generates biological information data used to adjust a motion intensity of the first avatar by causing the device control unit to control the actuator as the state information data of the first user.
7. The metaverse client terminal of claim 6, wherein the device control unit controls an actuator that is capable of providing sensory effects to the first user in response to a motion of the first avatar in the metaverse space.
8. The metaverse client terminal of claim 7, wherein the state information data of the second user is provided by a mobile metaverse client terminal that collects sensing data regarding the motion of the second user acquired using a gyro sensor or a Global Positioning System (GPS) module.
9. A method of providing a metaverse space capable of enabling interaction between users, the method comprising:
by a metaverse client terminal,
collecting sensing data regarding a motion of a first user acquired by a sensor;
determining a motion state of the first user based on the sensing data, and generating state information data of the determined motion state of the first user;
receiving metaverse information data used to construct a metaverse space and state information data of a second user located in a space different from that of the first user from the metaverse server;
generating a metaverse space using the received metaverse information data;
generating a first avatar moving in conjunction with the motion of the first user and a second avatar moving in conjunction with the motion of the second user based on the state information data of the first and second users; and
incorporating the first and second avatars into the metaverse space and providing the metaverse to the first user.
10. The method of claim 9, wherein collecting the sensing data regarding the motion of the first user includes determining whether the collected sensing data corresponds to sensing data regarding a speed of the first user, sensing data regarding an action of the first user, or sensing data regarding a biological state of the first user.
11. The method of claim 10, wherein generating the state information data of the determined motion state of the first user includes, if the collected sensing data corresponds to the sensing data regarding a speed of the first user, generating movement information data used to be incorporated into a speed and location of the first avatar in the metaverse space as the state information data of the first user.
12. The method of claim 11, wherein generating the state information data of the determined motion state of the first user includes, if the collected sensing data corresponds to the sensing data regarding an action of the first user, generating action information data used to be incorporated into an action of the first avatar in the metaverse space as the state information data of the first user.
13. The method of claim 12, wherein generating the state information data of the determined motion state of the first user includes, if the collected sensing data corresponds to the sensing data regarding a biological state of the first user, generating biological information data used to adjust a motion intensity of the first avatar by causing the device control unit to control the actuator as the state information data of the first user.
14. The method of claim 13, further comprising controlling a second actuator that is capable of providing sensory effects to the first user in response to a motion of the first avatar in the metaverse space.
15. The method of claim 14, wherein the state information data of the second user is provided by a mobile metaverse client terminal that collects sensing data regarding the motion of the second user acquired using a gyro sensor or a GPS module.</t>
  </si>
  <si>
    <t>Park, Sangwook|Park, Noh-sam|Jang, Jong-hyun|Park, Kwang-roh|Kang, Hyun-chul|Ko, Eun-jin|Han, Mi-kyong</t>
  </si>
  <si>
    <t>Expired</t>
  </si>
  <si>
    <t>US9338200 B2</t>
  </si>
  <si>
    <t>H04L0065403000</t>
  </si>
  <si>
    <t>H04L0065403000 | A63F0013428000 | G06F0015160000 | A63F0013790000 | H04L0067131000</t>
  </si>
  <si>
    <t>H04L02906000</t>
  </si>
  <si>
    <t>50th-60th Percentile</t>
  </si>
  <si>
    <t>US20140082526A1|KR20140036555A|US9338200B2|KR101923723B1</t>
  </si>
  <si>
    <t>US20140082526 A1 | KR20140036555 A | US9338200 B2 | KR101923723 B1</t>
  </si>
  <si>
    <t>I-000122450302</t>
  </si>
  <si>
    <t>Application expired due to grant (US9338200 B2)</t>
  </si>
  <si>
    <t>https://patentscout.innography.com/share/n6l-1WdOpB0NfKXZ31EEMg%3D%3D</t>
  </si>
  <si>
    <t>2013-09-11-ASSIGNMENT (ELECTRONICS AND TELECOMMUNICATIONS RESEARCH INSTITUTE)|2016-04-20-INFORMATION ON STATUS: PATENT GRANT|2019-12-30-FEE PAYMENT PROCEDURE|2020-06-15-LAPSE FOR FAILURE TO PAY MAINTENANCE FEES|2020-10-05-INFORMATION ON STATUS: PATENT DISCONTINUATION</t>
  </si>
  <si>
    <t>https://patentscout.innography.com/share/n6l-1WdOpB0NfKXZ31EEMg%3D%3D/download</t>
  </si>
  <si>
    <t>https://ppubs.uspto.gov/pubwebapp/external.html?q=20140082526.pn.</t>
  </si>
  <si>
    <t>US20140082526 A1</t>
  </si>
  <si>
    <t>KR20140036555 A</t>
  </si>
  <si>
    <t>102 | US11/682298 | CTNF
102 | US11/682298 | CTFR</t>
  </si>
  <si>
    <t>103 | US13/283464 | CTFR
103 | US13/283464 | CTNF</t>
  </si>
  <si>
    <t>112 | (N/A) | CTFR</t>
  </si>
  <si>
    <t>Sony Group Corporation
Sony Group Corporation</t>
  </si>
  <si>
    <t>The Walt Disney Company
The Walt Disney Company</t>
  </si>
  <si>
    <t>2015-10-15</t>
  </si>
  <si>
    <t>2015-05-20</t>
  </si>
  <si>
    <t>Ladas &amp; Parry</t>
  </si>
  <si>
    <t>CTFR</t>
  </si>
  <si>
    <t>1. A metaverse client terminal for providing a metaverse space capable of enabling interaction between users, the metaverse client terminal comprising:
a sensing data collection unit configured to collect sensing data regarding a motion of a first user acquired by a sensor;
a motion state determination unit configured to determine a motion state of the first user based on the sensing data, and to generate state information data of the determined motion state of the first user;
a server interface unit configured to transmit the state information data of the first user to a metaverse server, and to receive metaverse information data used to construct a metaverse space and state information data of a second user located in a space different from that of the first user from the metaverse server; and
a metaverse space provision unit configured to generate a metaverse space using the received metaverse information data, to generate a first avatar moving in conjunction with the motion of the first user and a second avatar moving in conjunction with the motion of the second user based on the state information data of the first and second users, and to incorporate the first and second avatars into the metaverse space and provide the metaverse to the first user.</t>
  </si>
  <si>
    <t>9. A method of providing a metaverse space capable of enabling interaction between users, the method comprising:
by a metaverse client terminal,
collecting sensing data regarding a motion of a first user acquired by a sensor;
determining a motion state of the first user based on the sensing data, and generating state information data of the determined motion state of the first user;
receiving metaverse information data used to construct a metaverse space and state information data of a second user located in a space different from that of the first user from the metaverse server;
generating a metaverse space using the received metaverse information data;
generating a first avatar moving in conjunction with the motion of the first user and a second avatar moving in conjunction with the motion of the second user based on the state information data of the first and second users; and
incorporating the first and second avatars into the metaverse space and providing the metaverse to the first user.</t>
  </si>
  <si>
    <t>KR102368616 B1 | KR102388735 B1 | KR102415719 B1 | KR102420840 B1 | WO2022186619 A1 | KR102441662 B1 | KR102445135 B1 | KR102445133 B1 | KR102445134 B1 | KR102450736 B1 | KR102456158 B1 | KR102456160 B1 | KR102461485 B1</t>
  </si>
  <si>
    <t>2014-03-26</t>
  </si>
  <si>
    <t>2018-11-29</t>
  </si>
  <si>
    <t>According to the present invention it is configured to reflect the user&amp;#39;s motion state information collected through a sensor or the like to the movement of the user&amp;#39;s avatar in the metaverse space and in real time by using the collected user&amp;#39;s motion state information Disclosed are a metaverse client terminal and method for providing a metaverse space in which a user can interact with the user.</t>
  </si>
  <si>
    <t>Metaverse client terminal and method for providing metaverse space for user interaction</t>
  </si>
  <si>
    <t>KR20120102795A</t>
  </si>
  <si>
    <t>A sensing data collector configured to collect sensing data on a movement of a first user acquired by a sensor;  An exercise state determiner configured to determine an exercise state of the first user based on the sensing data and to generate state information data on the determined exercise state of the first user;  Metaverse information data for transmitting the state information data of the first user to a metaverse server and configuring a metaverse space from the metaverse server, and a second user located in a different space from the first user. Server interface unit for receiving the state information data for; And  The first avatar and the first avatar are generated by using the received metaverse information data to generate a metaverse space and move in conjunction with the movement of the first user based on the state information data of the first and second users. And generating a second avatar moving in conjunction with a user's movement and reflecting the first and second avatars to the metaverse space and providing the first and second avatars to the first user. Metaverse client terminal to provide a metaverse space where users can interact.
The method according to claim 1,  And a device controller for controlling an actuator capable of adjusting the exercise intensity of the first user based on the state information data of the first user. Metaverse client terminal.
The method according to claim 2,  Sensing data analysis to determine whether the sensing data collected by the sensing data collection unit corresponds to one of sensing data sensing a moving speed of the first user, sensing data sensing an activity, or sensing data sensing a living body state. The metaverse client terminal for providing a metaverse space capable of interaction between users, further comprising a unit.
The method according to claim 3,  The exercise state determination unit,  When the sensing data collected by the sensing data collection unit corresponds to sensing data that senses the moving speed of the first user, the movement of the first avatar in the metaverse space as state information data of the first user. A metaverse client terminal for providing a metaverse space capable of interaction between users, characterized by generating movement information data to be reflected in a speed and a position.
The method of claim 4,  The exercise state determination unit,  When the sensing data collected by the sensing data collection unit corresponds to sensing data that senses the first user's behavior, the first avatar's state information data is used to describe the behavior of the first avatar in the metaverse space. A metaverse client terminal for providing a metaverse space capable of interaction between users, characterized by generating behavior information data for reflection.
The method according to claim 5,  The exercise state determination unit,  When the sensing data collected by the sensing data collection unit corresponds to sensing data that senses the biometric state of the first user, the device controller controls the actuator using the state information data of the first user to control the actuator. A metaverse client terminal for providing a metaverse space capable of interaction between users, characterized by generating biometric data for adjusting a user's exercise intensity.
The method of claim 6,  The apparatus control unit includes:  A meta for providing a user-interactable metaverse space, characterized in that for controlling an actuator that can provide a sensory effect to the first user in response to the movement of the first avatar in the metaverse space. Bus client terminal.
The method of claim 7,  The state information data on the second user is provided from a mobile metaverse client terminal which collects sensing data on the movement of the second user obtained by using a gyro sensor and a GPS module. Metaverse client terminal to provide an operable metaverse space.
Collecting, by the metaverse client terminal, sensing data regarding the movement of the first user acquired by the sensor;  Determining an exercise state of the first user based on the sensing data, and generating state information data on the determined exercise state of the first user;  Receiving metaverse information data for constituting a metaverse space from a metaverse server and state information data for a second user located in a different space from the first user;  Generating a metaverse space using the received metaverse information data;  Generating a first avatar moving in association with the movement of the first user and a second avatar moving in association with the movement of the second user based on the state information data of the first and second users; And  And reflecting the first and second avatars in the metaverse space and providing the first user to the first user.
The method of claim 9,  In the collecting of the sensing data on the movement of the first user, the collected sensing data may include sensing data of detecting a moving speed of the first user, sensing data of detecting an activity, or sensing data of detecting a living state. And determining which one corresponds to the metaverse space.
The method of claim 10,  Generating state information data on the exercise state of the first user,  When the collected sensing data corresponds to sensing data of detecting a moving speed of the first user, moving speed of the first avatar in the metaverse space as state information data on the exercise state of the first user and A method for providing a metaverse space capable of interaction between users, characterized by generating movement information data for reflection in a location.
The method of claim 11,  Generating state information data on the exercise state of the first user,  When the collected sensing data corresponds to sensing data that detects the first user's actions, reflect the action data of the first avatar in the metaverse space as state information data on the exercise state of the first user. A method for providing a metaverse space capable of interaction between users, characterized by generating behavior information data.
The method of claim 12,  Generating state information data on the exercise state of the first user,  When the collected sensing data corresponds to sensing data of sensing the biometric state of the first user, the first actuator that can adjust the exercise intensity of the first user as state information data on the exercise state of the first user A method for providing a metaverse space capable of interaction between users, characterized by generating biometric information data for controlling the control.
The method according to claim 13,  And controlling a second actuator capable of providing a sensory effect to the first user in response to the movement of the first avatar in the metaverse space. Method for providing bus space.
The method according to claim 14,  The state information data on the second user is provided from a mobile metaverse client terminal which collects sensing data on the movement of the second user obtained by using a gyro sensor and a GPS module. A method for providing an operable metaverse space.</t>
  </si>
  <si>
    <t>A</t>
  </si>
  <si>
    <t>Park, Sang Wook|Park, Noh Sam|Jang, Jong Hyun|Park, Kwang Roh|Kang, Hyun Chul|Ko, Eun Jin|Han, Mi Kyong</t>
  </si>
  <si>
    <t>KR101923723 B1</t>
  </si>
  <si>
    <t>KR</t>
  </si>
  <si>
    <t>G06F01516000</t>
  </si>
  <si>
    <t>$9932</t>
  </si>
  <si>
    <t>I-000124035517</t>
  </si>
  <si>
    <t>Application expired due to grant (KR101923723 B1)</t>
  </si>
  <si>
    <t>https://patentscout.innography.com/share/UtRt1NPsOx3fNRwpJ3DJHw%3D%3D</t>
  </si>
  <si>
    <t>2018-05-16-NOTIFICATION OF REASON FOR REFUSAL|2018-10-30-DECISION TO GRANT OR REGISTRATION OF PATENT RIGHT</t>
  </si>
  <si>
    <t>https://patentscout.innography.com/share/UtRt1NPsOx3fNRwpJ3DJHw%3D%3D/download</t>
  </si>
  <si>
    <t>https://v3.espacenet.com/publicationDetails/biblio?CC=KR&amp;NR=20140036555A&amp;KC=A&amp;FT=D&amp;date=20140326&amp;DB=EPODOC&amp;locale=</t>
  </si>
  <si>
    <t>HANYANG INTERNATIONAL PATENT &amp; LAW FIRM</t>
  </si>
  <si>
    <t>한양특허법인</t>
  </si>
  <si>
    <t>KR Applications</t>
  </si>
  <si>
    <t>1. A sensing data collector configured to collect sensing data on a movement of a first user acquired by a sensor;  An exercise state determiner configured to determine an exercise state of the first user based on the sensing data and to generate state information data on the determined exercise state of the first user;  Metaverse information data for transmitting the state information data of the first user to a metaverse server and configuring a metaverse space from the metaverse server, and a second user located in a different space from the first user. Server interface unit for receiving the state information data for; And  The first avatar and the first avatar are generated by using the received metaverse information data to generate a metaverse space and move in conjunction with the movement of the first user based on the state information data of the first and second users. And generating a second avatar moving in conjunction with a user's movement and reflecting the first and second avatars to the metaverse space and providing the first and second avatars to the first user. Metaverse client terminal to provide a metaverse space where users can interact.</t>
  </si>
  <si>
    <t>9. Collecting, by the metaverse client terminal, sensing data regarding the movement of the first user acquired by the sensor;  Determining an exercise state of the first user based on the sensing data, and generating state information data on the determined exercise state of the first user;  Receiving metaverse information data for constituting a metaverse space from a metaverse server and state information data for a second user located in a different space from the first user;  Generating a metaverse space using the received metaverse information data;  Generating a first avatar moving in association with the movement of the first user and a second avatar moving in association with the movement of the second user based on the state information data of the first and second users; And  And reflecting the first and second avatars in the metaverse space and providing the first user to the first user.</t>
  </si>
  <si>
    <t>KR102376390 B1 | KR102394158 B1 | KR102402580 B1 | KR102434060 B1 | KR102439122 B1 | KR102447171 B1</t>
  </si>
  <si>
    <t>2032-09-17</t>
  </si>
  <si>
    <t>According to the present invention the motion state information of the user collected through the sensor or the like is reflected in the motion of the user&amp;#39;s avatar in the metaverse space and the motion state information A metaverse client terminal and method for providing a metaverse space capable of interacting with a user to enable interaction with a user is disclosed.</t>
  </si>
  <si>
    <t>A sensing data collecting unit for collecting sensing data on movement of a first user acquired by the sensor;  A movement state determination unit for determining a movement state of the first user based on the sensing data and generating state information data on the determined movement state of the first user;  The first user's state information data is transmitted to a metaverse server, meta bus information data for constructing a metaverse space from the metaverse server, and second user's location information, A server interface unit for receiving status information data on the server; And  A first avatar generating unit operable to generate a metaverse space by using the received metaverse information data and to generate a first avatar and a second avatar based on status information data of the first and second users, And a metaverse space providing unit for creating second avatars moving in synchronization with the movement of the second user and reflecting the first and second avatars in the metaverse space to the first user,  The metaverse server  When the first user and the second user are connected to different metaverse spaces, the state information data of the first user is changed to correspond to the metaverse space accessed by the second user, And provides the first user with the state information data of the second user corresponding to the metaverse space accessed by the first user and provides the metaverse space to the first user. The metaverse client terminal.
The method according to claim 1,  Further comprising a device control unit for controlling an actuator capable of adjusting an exercise intensity of the first user based on the state information data of the first user, A metaverse client terminal.
The method of claim 2,  Wherein the sensing data collected by the sensing data collection unit includes sensing data sensing movement speed of the first user, sensed data sensed by the action, or sensing data sensed by the living body, Further comprising: a metaverse client terminal for providing metaverse space for user interaction with the metaverse client terminal.
The method of claim 3,  The exercise state determination unit may determine,  When the sensed data collected by the sensing data collecting unit corresponds to sensed data that senses the moving speed of the first user, the first avatar is moved in the metaverse space as state information data of the first user, Speed and location information of the metaverse client terminal to generate meta-bus space for user-to-user interaction.
The method of claim 4,  The exercise state determination unit may determine,  When the sensed data collected by the sensing data collecting unit corresponds to the sensed data that senses the behavior of the first user, And generating behavior information data for reflecting the metaverse space in the metaverse space.
The method of claim 5,  The exercise state determination unit may determine,  When the sensing data collected by the sensing data collecting unit corresponds to sensed data of the first user sensing the living body state, the device control unit controls the actuator as state information data of the first user, And generating biometric information data for controlling a user's exercise intensity. The metaverse client terminal for providing a metaverse space capable of interaction between users.
The method of claim 6,  The apparatus control unit includes:  And controlling an actuator capable of providing a real effect to the first user corresponding to the movement of the first avatar in the metaverse space, Bus client terminal.
The method of claim 7,  Wherein the status information data for the second user is provided from a mobile metaverse client terminal for collecting sensing data on movement of the second user obtained using the gyro sensor and the GPS module, A metaverse client terminal for providing a metaverse space capable of operating.
Collecting sensing data on a motion of a first user obtained by the sensor by the metaverse client terminal;  Determining a motion state of the first user based on the sensing data, and generating state information data on the determined motion state of the first user;  Receiving metaverse information data for constructing a metaverse space from a metaverse server and state information data for a second user located in a different space from the first user;  Generating a metaverse space using the received metaverse information data;  Generating a first avatar moving in conjunction with movement of the first user and a second avatar moving in conjunction with movement of the second user based on the state information data of the first and second users, respectively; And  And reflecting the first and second avatars to the metaverse space and providing the first and second avatars to the first user,  The step of creating the metaverse space  The metaverse server changes state information data of the first user corresponding to the metaverse space accessed by the second user when the first user and the second user are connected to different metaverse spaces, And provides the state information data of the second user to the first user by changing the state information data of the second user to correspond to the metaverse space accessed by the first user. A method for providing a possible metaverse space.
The method of claim 9,  The collecting of the sensing data on the motion of the first user may include sensing data obtained by sensing the movement speed of the first user, sensed data sensed by the first user, The method comprising the steps of: determining whether one of the plurality of metaverse spaces corresponds to one of the plurality of metaverse spaces.
The method of claim 10,  Wherein the step of generating state information data on the motion state of the first user comprises:  When the collected sensing data corresponds to sensed data that senses the moving speed of the first user, the moving speed of the first avatar in the metaverse space and the moving speed of the first avatar in the metaverse space, And generating movement information data for reflecting the position of the metaverse space.
The method of claim 11,  Wherein the step of generating state information data on the motion state of the first user comprises:  When the collected sensed data corresponds to sensed data that senses the behavior of the first user, the sensed data may be reflected in the behavior of the first avatar in the metaverse space as state information data on the motion state of the first user And generating behavior information data for user interaction with the user.
The method of claim 12,  Wherein the step of generating state information data on the motion state of the first user comprises:  And a controller that controls the intensity of the first user as the state information on the motion state of the first user when the collected sensing data corresponds to the sensing data of the first user, And generating biometric information data for controlling the user.
14. The method of claim 13,  Further comprising the step of controlling a second actuator capable of providing a real effect to the first user corresponding to the motion of the first avatar in the metaverse space, A method for providing a bus space.
15. The method of claim 14,  Wherein the status information data for the second user is provided from a mobile metaverse client terminal for collecting sensing data on movement of the second user obtained using the gyro sensor and the GPS module, A method for providing a metaverse space operable.</t>
  </si>
  <si>
    <t>B1</t>
  </si>
  <si>
    <t>90th-100th Percentile</t>
  </si>
  <si>
    <t>$21611</t>
  </si>
  <si>
    <t>20 years from 2012-09-17 (file date)</t>
  </si>
  <si>
    <t>https://patentscout.innography.com/share/Ztlmx-nuVXup3lpx-KSmqQ%3D%3D</t>
  </si>
  <si>
    <t>https://patentscout.innography.com/share/Ztlmx-nuVXup3lpx-KSmqQ%3D%3D/download</t>
  </si>
  <si>
    <t>https://v3.espacenet.com/publicationDetails/biblio?CC=KR&amp;NR=101923723B1&amp;KC=B1&amp;FT=D&amp;date=20181129&amp;DB=EPODOC&amp;locale=</t>
  </si>
  <si>
    <t>한양특허법인 | 한양특허법인</t>
  </si>
  <si>
    <t>KR Grants</t>
  </si>
  <si>
    <t>1. A sensing data collecting unit for collecting sensing data on movement of a first user acquired by the sensor;  A movement state determination unit for determining a movement state of the first user based on the sensing data and generating state information data on the determined movement state of the first user;  The first user's state information data is transmitted to a metaverse server, meta bus information data for constructing a metaverse space from the metaverse server, and second user's location information, A server interface unit for receiving status information data on the server; And  A first avatar generating unit operable to generate a metaverse space by using the received metaverse information data and to generate a first avatar and a second avatar based on status information data of the first and second users, And a metaverse space providing unit for creating second avatars moving in synchronization with the movement of the second user and reflecting the first and second avatars in the metaverse space to the first user,  The metaverse server  When the first user and the second user are connected to different metaverse spaces, the state information data of the first user is changed to correspond to the metaverse space accessed by the second user, And provides the first user with the state information data of the second user corresponding to the metaverse space accessed by the first user and provides the metaverse space to the first user. The metaverse client terminal.</t>
  </si>
  <si>
    <t>9. Collecting sensing data on a motion of a first user obtained by the sensor by the metaverse client terminal;  Determining a motion state of the first user based on the sensing data, and generating state information data on the determined motion state of the first user;  Receiving metaverse information data for constructing a metaverse space from a metaverse server and state information data for a second user located in a different space from the first user;  Generating a metaverse space using the received metaverse information data;  Generating a first avatar moving in conjunction with movement of the first user and a second avatar moving in conjunction with movement of the second user based on the state information data of the first and second users, respectively; And  And reflecting the first and second avatars to the metaverse space and providing the first and second avatars to the first user,  The step of creating the metaverse space  The metaverse server changes state information data of the first user corresponding to the metaverse space accessed by the second user when the first user and the second user are connected to different metaverse spaces, And provides the state information data of the second user to the first user by changing the state information data of the second user to correspond to the metaverse space accessed by the first user. A method for providing a possible metaverse space.</t>
  </si>
  <si>
    <t>US8028021 B2 | US8788951 B2 | US20080214253 A1 | US20090100352 A1 | US20110014932 A1 | US20130111366 A1 | WO2009015880 A1 | KR20050011624 A | KR20090053183 A</t>
  </si>
  <si>
    <t>2020-06-15</t>
  </si>
  <si>
    <t xml:space="preserve">A metaverse client terminal for providing a metaverse space capable of enabling interaction between users, the metaverse client terminal comprising:
a sensing data collection unit configured to collect sensing data regarding a motion of a first user acquired by a sensor;
a motion state determination unit configured to determine a motion state of the first user based on the sensing data, and to generate state information data of the determined motion state of the first user;
a server interface unit configured to transmit the state information data of the first user to a metaverse server, and to receive metaverse information data used to construct a metaverse space and state information data of a second user located in a space different from that of the first user from the metaverse server; and
a metaverse space provision unit configured to generate a metaverse space using the received metaverse information data, to generate a first avatar moving in conjunction with the motion of the first user and a second avatar moving in conjunction with the motion of the second user based on the state information data of the first and second users, and to incorporate the first and second avatars into the metaverse space and provide the metaverse to the first user;
further comprising a device control unit configured to control an actuator that is capable of controlling a motion intensity of the first user based on the state information data of the first user;
further comprising a sensing data analysis unit configured to determine whether the sensing data collected by the sensing data collection unit corresponds to sensing data regarding a speed of the first user, sensing data regarding an action of the first user, or sensing data regarding a biological state of the first user;
wherein the motion state determination unit, if the sensing data collected by the sensing data collection unit corresponds to the sensing data regarding a speed of the first user, generates movement information data used to be incorporated into a speed and location of the first avatar in the metaverse space as the state information data of the first user;
wherein the motion state determination unit, if the sensing data collected by the sensing data collection unit corresponds to the sensing data regarding an action of the first user, generates action information data used to be incorporated into an action of the first avatar in the metaverse space as the state information data of the first user;
wherein the motion state determination unit, if the sensing data collected by the sensing data collection unit corresponds to the sensing data regarding a biological state of the first user, generates biological information data used to adjust a motion intensity of the first avatar by causing the device control unit to control the actuator as the state information data of the first user.
</t>
  </si>
  <si>
    <t>1. A metaverse client terminal for providing a metaverse space capable of enabling interaction between users, the metaverse client terminal comprising:
a sensing data collection unit configured to collect sensing data regarding a motion of a first user acquired by a sensor;
a motion state determination unit configured to determine a motion state of the first user based on the sensing data, and to generate state information data of the determined motion state of the first user;
a server interface unit configured to transmit the state information data of the first user to a metaverse server, and to receive metaverse information data used to construct a metaverse space and state information data of a second user located in a space different from that of the first user from the metaverse server; and
a metaverse space provision unit configured to generate a metaverse space using the received metaverse information data, to generate a first avatar moving in conjunction with the motion of the first user and a second avatar moving in conjunction with the motion of the second user based on the state information data of the first and second users, and to incorporate the first and second avatars into the metaverse space and provide the metaverse to the first user;
further comprising a device control unit configured to control an actuator that is capable of controlling a motion intensity of the first user based on the state information data of the first user;
further comprising a sensing data analysis unit configured to determine whether the sensing data collected by the sensing data collection unit corresponds to sensing data regarding a speed of the first user, sensing data regarding an action of the first user, or sensing data regarding a biological state of the first user;
wherein the motion state determination unit, if the sensing data collected by the sensing data collection unit corresponds to the sensing data regarding a speed of the first user, generates movement information data used to be incorporated into a speed and location of the first avatar in the metaverse space as the state information data of the first user;
wherein the motion state determination unit, if the sensing data collected by the sensing data collection unit corresponds to the sensing data regarding an action of the first user, generates action information data used to be incorporated into an action of the first avatar in the metaverse space as the state information data of the first user;
wherein the motion state determination unit, if the sensing data collected by the sensing data collection unit corresponds to the sensing data regarding a biological state of the first user, generates biological information data used to adjust a motion intensity of the first avatar by causing the device control unit to control the actuator as the state information data of the first user.
2. The metaverse client terminal of claim 1, wherein the device control unit controls an actuator that is capable of providing sensory effects to the first user in response to a motion of the first avatar in the metaverse space.
3. The metaverse client terminal of claim 2, wherein the state information data of the second user is provided by a mobile metaverse client terminal that collects sensing data regarding the motion of the second user acquired using a gyro sensor or a Global Positioning System (GPS) module.
4. The metaverse client terminal of claim 1, further comprising a device interface unit configured to support data communications between the sensor or actuator and sensing data collection unit and between actuator and device control unit
wherein the device interface unit receives sensing data regarding the motion of the first user from the sensor or actuator and transfers the sensing data to the sensing data collection unit and
wherein the device interface unit receives a control signal used to control the operation of the actuator from the device control unit and transfers the control signal to the actuator.
5. A method of providing a metaverse space capable of enabling interaction between users, the method comprising:
by a metaverse client terminal,
collecting sensing data regarding a motion of a first user acquired by a sensor;
determining a motion state of the first user based on the sensing data, and generating state information data of the determined motion state of the first user;
receiving metaverse information data used to construct a metaverse space and state information data of a second user located in a space different from that of the first user from the metaverse server;
generating a metaverse space using the received metaverse information data;
generating a first avatar moving in conjunction with the motion of the first user and a second avatar moving in conjunction with the motion of the second user based on the state information data of the first and second users; and
incorporating the first and second avatars into the metaverse space and providing the metaverse to the first user;
wherein collecting the sensing data regarding the motion of the first user includes determining whether the collected sensing data corresponds to sensing data regarding a speed of the first user, sensing data regarding an action of the first user, or sensing data regarding a biological state of the first user;
wherein generating the state information data of the determined motion state of the first user includes, if the collected sensing data corresponds to the sensing data regarding a speed of the first user, generating movement information data used to be incorporated into a speed and location of the first avatar in the metaverse space as the state information data of the first user;
wherein generating the state information data of the determined motion state of the first user includes, if the collected sensing data corresponds to the sensing data regarding an action of the first user, generating action information data used to be incorporated into an action of the first avatar in the metaverse space as the state information data of the first user;
wherein generating the state information data of the determined motion state of the first user includes, if the collected sensing data corresponds to the sensing data regarding a biological state of the first user, generating biological information data used to adjust a motion intensity of the first avatar by causing the device control unit to control the actuator as the state information data of the first user.
6. The method of claim 5, further comprising controlling a second actuator that is capable of providing sensory effects to the first user in response to a motion of the first avatar in the metaverse space.
7. The method of claim 6, wherein the state information data of the second user is provided by a mobile metaverse client terminal that collects sensing data regarding the motion of the second user acquired using a gyro sensor or a GPS module.
8. The method of claim 5, further comprising supporting data communications including receiving sensing data regarding the motion of the user from the sensor or actuator and transferring a control signal to the actuator.</t>
  </si>
  <si>
    <t>B2</t>
  </si>
  <si>
    <t>G06F00304800</t>
  </si>
  <si>
    <t>G06F00304800 | A63F01342800 | A63F01379000 | H04L02906000</t>
  </si>
  <si>
    <t>0th-10th Percentile</t>
  </si>
  <si>
    <t>$19449</t>
  </si>
  <si>
    <t>Expired due to legal status event</t>
  </si>
  <si>
    <t>https://patentscout.innography.com/share/0DV_pJ2x0vIu4_P748Yg-w%3D%3D</t>
  </si>
  <si>
    <t>https://patentscout.innography.com/share/0DV_pJ2x0vIu4_P748Yg-w%3D%3D/download</t>
  </si>
  <si>
    <t>https://ppubs.uspto.gov/pubwebapp/external.html?q=9338200.pn.</t>
  </si>
  <si>
    <t>US Grants</t>
  </si>
  <si>
    <t>1. A metaverse client terminal for providing a metaverse space capable of enabling interaction between users, the metaverse client terminal comprising:
a sensing data collection unit configured to collect sensing data regarding a motion of a first user acquired by a sensor;
a motion state determination unit configured to determine a motion state of the first user based on the sensing data, and to generate state information data of the determined motion state of the first user;
a server interface unit configured to transmit the state information data of the first user to a metaverse server, and to receive metaverse information data used to construct a metaverse space and state information data of a second user located in a space different from that of the first user from the metaverse server; and
a metaverse space provision unit configured to generate a metaverse space using the received metaverse information data, to generate a first avatar moving in conjunction with the motion of the first user and a second avatar moving in conjunction with the motion of the second user based on the state information data of the first and second users, and to incorporate the first and second avatars into the metaverse space and provide the metaverse to the first user;
further comprising a device control unit configured to control an actuator that is capable of controlling a motion intensity of the first user based on the state information data of the first user;
further comprising a sensing data analysis unit configured to determine whether the sensing data collected by the sensing data collection unit corresponds to sensing data regarding a speed of the first user, sensing data regarding an action of the first user, or sensing data regarding a biological state of the first user;
wherein the motion state determination unit, if the sensing data collected by the sensing data collection unit corresponds to the sensing data regarding a speed of the first user, generates movement information data used to be incorporated into a speed and location of the first avatar in the metaverse space as the state information data of the first user;
wherein the motion state determination unit, if the sensing data collected by the sensing data collection unit corresponds to the sensing data regarding an action of the first user, generates action information data used to be incorporated into an action of the first avatar in the metaverse space as the state information data of the first user;
wherein the motion state determination unit, if the sensing data collected by the sensing data collection unit corresponds to the sensing data regarding a biological state of the first user, generates biological information data used to adjust a motion intensity of the first avatar by causing the device control unit to control the actuator as the state information data of the first user.</t>
  </si>
  <si>
    <t>5. A method of providing a metaverse space capable of enabling interaction between users, the method comprising:
by a metaverse client terminal,
collecting sensing data regarding a motion of a first user acquired by a sensor;
determining a motion state of the first user based on the sensing data, and generating state information data of the determined motion state of the first user;
receiving metaverse information data used to construct a metaverse space and state information data of a second user located in a space different from that of the first user from the metaverse server;
generating a metaverse space using the received metaverse information data;
generating a first avatar moving in conjunction with the motion of the first user and a second avatar moving in conjunction with the motion of the second user based on the state information data of the first and second users; and
incorporating the first and second avatars into the metaverse space and providing the metaverse to the first user;
wherein collecting the sensing data regarding the motion of the first user includes determining whether the collected sensing data corresponds to sensing data regarding a speed of the first user, sensing data regarding an action of the first user, or sensing data regarding a biological state of the first user;
wherein generating the state information data of the determined motion state of the first user includes, if the collected sensing data corresponds to the sensing data regarding a speed of the first user, generating movement information data used to be incorporated into a speed and location of the first avatar in the metaverse space as the state information data of the first user;
wherein generating the state information data of the determined motion state of the first user includes, if the collected sensing data corresponds to the sensing data regarding an action of the first user, generating action information data used to be incorporated into an action of the first avatar in the metaverse space as the state information data of the first user;
wherein generating the state information data of the determined motion state of the first user includes, if the collected sensing data corresponds to the sensing data regarding a biological state of the first user, generating biological information data used to adjust a motion intensity of the first avatar by causing the device control unit to control the actuator as the state information data of the first user.</t>
  </si>
  <si>
    <t>US10719866 B2 | KR20180049274 A | US11100561 B2 | US11120492 B2 | US11210723 B2 | KR102412142 B1 | KR102428990 B1 | KR20220146298 A | KR20220165214 A</t>
  </si>
  <si>
    <t>2013-06-26</t>
  </si>
  <si>
    <t>2011-12-15</t>
  </si>
  <si>
    <t>2017-01-16</t>
  </si>
  <si>
    <t>PURPOSE: A reality-fused metaverse platform device and a service providing method thereof are provided to support an asynchronous behavior and a synchronous behavior by recognizing the behavior of wire and wireless network technology and reality sensor technology. CONSTITUTION: A sensing information receiving unit(310) receives sensing information sensing a user behavior from clients. A user behavior storage unit(320) stores behavior information. A behavior recognition processing unit(330) divides the user behavior into an asynchronous behavior and a synchronous behavior based on the sensing information. If the user behavior is the synchronous behavior a metaverse management unit(370) directly applies the behavior to the movement of an avatar in a metaverse virtual space. If the user behavior is the asynchronous behavior the metaverse management unit applies the asynchronous behavior to the movement of the avatar. [Reference numerals] (310) Sensing information receiving unit; (320) User behavior storage unit; (330) Behavior recognition processing unit; (340) Social network processing unit; (350) User information storage unit; (AA) Content providing unit; (BB) Metaverse management unit</t>
  </si>
  <si>
    <t>Metaverse platform for fusing actual feeling and method for providing service using the same</t>
  </si>
  <si>
    <t>KR20110135881A</t>
  </si>
  <si>
    <t>A sensing information receiver configured to receive sensing information from the plurality of clients, the sensing information being detected by the user;  A processing unit for recognizing a user's behavior by classifying it into a synchronous behavior and an asynchronous behavior based on the received sensing information; And  If the perceived user behavior is a synchronous behavior, it is directly reflected and controlled in the movement of the avatar in the metaverse virtual space. If the perceived user behavior is asynchronous, the cumulative asynchronous behavior is directly reflected in the avatar movement in the metaverse virtual space. Realistic fusion metaverse platform device comprising a metaverse management unit for controlling.</t>
  </si>
  <si>
    <t>Park, Noh Sam|Park, Sang Wook|Jang, Jong Hyun|Park, Kwang Roh</t>
  </si>
  <si>
    <t>G06F0003011000</t>
  </si>
  <si>
    <t>G06F0003011000 | A63F0013400000 | G06Q0050100000</t>
  </si>
  <si>
    <t>G06F00300000</t>
  </si>
  <si>
    <t>G06F00300000 | G06F01516000 | G06F01700000</t>
  </si>
  <si>
    <t>40th-50th Percentile</t>
  </si>
  <si>
    <t>KR20130068593A</t>
  </si>
  <si>
    <t>KR20130068593 A</t>
  </si>
  <si>
    <t>I-000117250637</t>
  </si>
  <si>
    <t>https://patentscout.innography.com/share/ijX8JL285os6VAiP_31_vQ%3D%3D</t>
  </si>
  <si>
    <t>2017-01-16-WITHDRAWAL DUE TO NO REQUEST FOR EXAMINATION</t>
  </si>
  <si>
    <t>https://patentscout.innography.com/share/ijX8JL285os6VAiP_31_vQ%3D%3D/download</t>
  </si>
  <si>
    <t>https://v3.espacenet.com/publicationDetails/biblio?CC=KR&amp;NR=20130068593A&amp;KC=A&amp;FT=D&amp;date=20130626&amp;DB=EPODOC&amp;locale=</t>
  </si>
  <si>
    <t>1. A sensing information receiver configured to receive sensing information from the plurality of clients, the sensing information being detected by the user;  A processing unit for recognizing a user's behavior by classifying it into a synchronous behavior and an asynchronous behavior based on the received sensing information; And  If the perceived user behavior is a synchronous behavior, it is directly reflected and controlled in the movement of the avatar in the metaverse virtual space. If the perceived user behavior is asynchronous, the cumulative asynchronous behavior is directly reflected in the avatar movement in the metaverse virtual space. Realistic fusion metaverse platform device comprising a metaverse management unit for controlling.</t>
  </si>
  <si>
    <t>US20110126272 A1 | US20090287614 A1</t>
  </si>
  <si>
    <t>US10324903 B1 | WO2019133481 A1 | US10489458 B2 | US10599673 B2 | US10671638 B2 | US10691720 B2 | US10726044 B2 | US10733205 B2 | US10762104 B2 | US10776386 B2 | US10789269 B2 | US10831830 B2 | US10866964 B2 | US10872098 B2 | US10877993 B2 | US10922333 B2 | US10929427 B2 | US10936622 B2 | US10949445 B2 | US11003685 B2 | US11010402 B2 | US11016991 B2 | US11048720 B2 | US11080297 B2 | US11120039 B2 | US11176164 B2 | US11188559 B2 | US11423048 B2 | US11423087 B2 | US11429634 B2 | US11461365 B2 | US11475041 B2 | US11500897 B2 | US11500899 B2 | US11514078 B2 | US20130014033 A1 | US9285156 B2 | US9480928 B2</t>
  </si>
  <si>
    <t>2011-01-20</t>
  </si>
  <si>
    <t>2009-07-16</t>
  </si>
  <si>
    <t>2010-07-08</t>
  </si>
  <si>
    <t>2013-03-23</t>
  </si>
  <si>
    <t>Provided are a system and method for delivering and managing contents in multiple metaverses. The system includes a plurality of metaverses and a multiverse management platform. The plurality of metaverses include first and second metaverses providing different mixed reality environments to allow a user to perform various business activities using contents. The multiverse management platform supports a teleport between the first and second metaverses converts values of the contents used in the first metaverse into contents usable in the second metaverse and performs integrated management of the plurality of metaverses to allow the converted contents to be used in the second metaverse through the teleport.</t>
  </si>
  <si>
    <t>System and method for delivering and managing contents in multiple metaverse</t>
  </si>
  <si>
    <t>Electronics &amp; Telecommunications Research Institute</t>
  </si>
  <si>
    <t>US12/832607</t>
  </si>
  <si>
    <t>JEFFREY KEITH WONG</t>
  </si>
  <si>
    <t xml:space="preserve">A system for delivering and managing contents in multiple metaverses, comprising:
a plurality of metaverses comprising first and second metaverses providing different mixed reality environments to allow a user to perform various business activities using contents; and
a multiverse management platform supporting a teleport between the first and second metaverses, converting values of the contents used in the first metaverse into contents usable in the second metaverse, and performing integrated management of the plurality of metaverses to allow the converted contents to be used in the second metaverse through the teleport.
</t>
  </si>
  <si>
    <t>1. A system for delivering and managing contents in multiple metaverses, comprising:
a plurality of metaverses comprising first and second metaverses providing different mixed reality environments to allow a user to perform various business activities using contents; and
a multiverse management platform supporting a teleport between the first and second metaverses, converting values of the contents used in the first metaverse into contents usable in the second metaverse, and performing integrated management of the plurality of metaverses to allow the converted contents to be used in the second metaverse through the teleport.
2. The system of claim 1, further comprising a user client system downloading the contents comprising game software from the metaverse and executing the downloaded game software,
wherein the user client system logs onto the first metaverse through the multiverse management platform and teleports from the first meta verse to the second metaverse, using the teleport while logging onto the first metaverse.
3. The system of claim 1, wherein the multiverse management platform comprises:
an integrated user database storing user login information; and
a multiverse user management unit searching the integrated user database to verify validity of the user login information.
4. The system of claim 1, wherein the multiverse management platform comprises:
an integrated content database storing content addresses of the first and second metaverses; and
a multiverse content management unit receiving the stored content addresses as a form of Globally Unique Identifier (GUID) and checking information of the first and second metaverses that is received as the form of GUID.
5. The system of claim 4, wherein the multiverse content management unit checks the information of the first and second metaverses through the identifiers of the first and second metaverses and the first and second content addresses comprising the first and second content identifiers, and deliver the content identifiers to a specific metaverse to deliver contents of the specific metaverse to the user client system.
6. The system of claim 4, further comprising a content negotiation rule database storing conversion rules of contents between the respective metaverses,
wherein the multiverse content management unit inquires contents retained by the user from the integrated content database and inquires content negotiation rules corresponding to the contents of the first metaverse stored in the content negotiation rule database to convert and map the contents of the first metaverse into contents usable in the second metaverse.
7. A method for delivering and managing contents in multiple metaverses, comprising:
logging, by a user client system, onto a specific metaverse among a plurality of metaverses providing a plurality of mixed reality environments, respectively;
delivering game content information on the specific metaverse to the user client system;
verifying a final game content version by inquiring a content delivery history from an integrated content database when the game content information has already been delivered or there are no game contents in the user client system due to replacement of a client terminal; and
requesting content delivery from the specific metaverse using the content information and receiving contents about the final content version to start a game.
8. The method of claim 7, wherein the logging of the specific metaverse comprises delivering, by the user client system, login information to the specific metaverse using a teleport between the metaverses.
9. A method for delivering and managing contents in multiple metaverses, comprising:
building a plurality of metaverses comprising a first metaverse and a second metaverse providing mixed reality environments, respectively;
requesting, by a user client system, a teleport from the first metaverse to the second metaverse from a multiverse platform;
inquiring, by a multiverse content management unit, game contents retained by a user from the multiverse content database;
inquiring, by the multiverse content management unit, content negotiation rules corresponding to the game contents of the first metaverse to convert and map the game contents of the first metaverse into game contents usable in the second metaverse; and
requesting, by the multiverse content management unit, the second metaverse to deliver the converted and mapped game contents of the second metaverse to the user client system.
10. The method of claim 9, further comprising building a content negotiation rule database storing the content negotiation rules to inquire the content negotiation rules by the multiverse content management unit.</t>
  </si>
  <si>
    <t>Park, Noh Sam|Park, Sang Wook|Jang, Jong Hyun</t>
  </si>
  <si>
    <t>G06Q0050100000</t>
  </si>
  <si>
    <t>G06Q0050100000 | A63F0013352000 | G06N0003006000 | A63F0013600000 | A63F0013770000 | A63F2300553300 | A63F2300808200</t>
  </si>
  <si>
    <t>A63F00924000</t>
  </si>
  <si>
    <t>463042000|463043000</t>
  </si>
  <si>
    <t>US20110014985A1|KR20110007419A</t>
  </si>
  <si>
    <t>$6567</t>
  </si>
  <si>
    <t>US20110014985 A1 | KR20110007419 A</t>
  </si>
  <si>
    <t>I-000093357648</t>
  </si>
  <si>
    <t>Expired due to application abandonment</t>
  </si>
  <si>
    <t>https://patentscout.innography.com/share/tzF-PVNl_59bLjemnUGRoQ%3D%3D</t>
  </si>
  <si>
    <t>2010-06-11-ASSIGNMENT (ELECTRONICS &amp; TELECOMMUNICATIONS RESEARCH INSTITUTE)|2013-03-23-INFORMATION ON STATUS: APPLICATION DISCONTINUATION</t>
  </si>
  <si>
    <t>https://patentscout.innography.com/share/tzF-PVNl_59bLjemnUGRoQ%3D%3D/download</t>
  </si>
  <si>
    <t>https://ppubs.uspto.gov/pubwebapp/external.html?q=20110014985.pn.</t>
  </si>
  <si>
    <t>US20110014985 A1</t>
  </si>
  <si>
    <t>KR20110007419 A</t>
  </si>
  <si>
    <t>101 | (not available) | CTNF</t>
  </si>
  <si>
    <t>102 | US12/120308 | CTNF
102 | US12/626367 | CTNF</t>
  </si>
  <si>
    <t>Wargaming Public Company Limited
International Business Machines Corp.</t>
  </si>
  <si>
    <t>2012-09-11</t>
  </si>
  <si>
    <t>NELSON MULLINS RILEY &amp; SCARBOROUGH LLP</t>
  </si>
  <si>
    <t>CTNF</t>
  </si>
  <si>
    <t>1. A system for delivering and managing contents in multiple metaverses, comprising:
a plurality of metaverses comprising first and second metaverses providing different mixed reality environments to allow a user to perform various business activities using contents; and
a multiverse management platform supporting a teleport between the first and second metaverses, converting values of the contents used in the first metaverse into contents usable in the second metaverse, and performing integrated management of the plurality of metaverses to allow the converted contents to be used in the second metaverse through the teleport.</t>
  </si>
  <si>
    <t>7. A method for delivering and managing contents in multiple metaverses, comprising:
logging, by a user client system, onto a specific metaverse among a plurality of metaverses providing a plurality of mixed reality environments, respectively;
delivering game content information on the specific metaverse to the user client system;
verifying a final game content version by inquiring a content delivery history from an integrated content database when the game content information has already been delivered or there are no game contents in the user client system due to replacement of a client terminal; and
requesting content delivery from the specific metaverse using the content information and receiving contents about the final content version to start a game.</t>
  </si>
  <si>
    <t>9. A method for delivering and managing contents in multiple metaverses, comprising:
building a plurality of metaverses comprising a first metaverse and a second metaverse providing mixed reality environments, respectively;
requesting, by a user client system, a teleport from the first metaverse to the second metaverse from a multiverse platform;
inquiring, by a multiverse content management unit, game contents retained by a user from the multiverse content database;
inquiring, by the multiverse content management unit, content negotiation rules corresponding to the game contents of the first metaverse to convert and map the game contents of the first metaverse into game contents usable in the second metaverse; and
requesting, by the multiverse content management unit, the second metaverse to deliver the converted and mapped game contents of the second metaverse to the user client system.</t>
  </si>
  <si>
    <t>KR102143227 B1 | KR102322511 B1 | KR20190014253 A</t>
  </si>
  <si>
    <t>2022-12-09</t>
  </si>
  <si>
    <t>2022-01-12</t>
  </si>
  <si>
    <t>2022-01-17</t>
  </si>
  <si>
    <t>2042-01-17</t>
  </si>
  <si>
    <t>The present invention creates a clothing 3D model based on the generated clothing design information changes the generated clothing 3D model to fit the size body type length shape and texture of the metaverse character to be fitted to fit the clothing to the metaverse character To generate metaverse clothing information that can be worn to prevent counterfeiting and to enable transactions regardless of platform NFT-based metaverse clothing information generation that performs irreplaceable tokenization by matching with blockchain-based cryptocurrency As for the system and its method by using the NFT-based metaverse clothing information generation system a number of fashion companies sense the clothing produced by their company through a simple sensing device and select the desired metaverse character. Clothing can be created as a costume item that can be implemented in the metaverse and worn on a character in the metaverse. By converting clothing items into non-fungible tokens the trading function of clothing items can be provided and furthermore there is an effect of providing actual clothing promotion information provision and even trading functions.</t>
  </si>
  <si>
    <t>Nft-based metaverse clothing information generation system and method therefor</t>
  </si>
  <si>
    <t>KR20220006839A</t>
  </si>
  <si>
    <t>a clothing design information generation unit configured to sense shape data of actual clothing and generate clothing design information including length, size, ratio, texture, and shape information;Character appearance information generation unit for generating character appearance information by receiving the size, body shape, length, shape, texture information of the fitting target metaverse character from the server of the metaverse;a 3D model generation unit for generating a 3D character model by modeling the outer appearance of the character in 3D based on the outer appearance information of the character, and generating a 3D model of clothing by modeling the outer appearance of the clothing in 3D using the clothing design information;A plurality of feature points for the appearance of each 3D model are extracted by inputting the character 3D model and the costume 3D model to the artificial neural network-based feature point connection structure transformation model, and the plurality of extracted feature points are connected to form a shape structure a characteristic point connected structure model generating unit for generating a character feature point connected structure model converted into a feature point connected structure model and a clothing feature point connected structure model;Feature point matching information for generating feature point matching information including information on each matched feature point pair by matching a plurality of points included in the character feature point connected structure and a plurality of points included in the costume feature point connected structure model. generating unit;According to the information on each feature point pair of the feature point connection matching information, the feature points of the character feature point connection structure model matched with the feature points included in the costume feature point connection structure model are matched to the costume feature point connection structure model. By changing the position of a plurality of included feature points, the shape of the clothing feature point connection structure model is converted, and the clothing 3D model is converted based on the converted clothing feature point connection structure model to wear clothing that can be worn on the fitting target metaverse character a wearing clothing 3D model generation unit that creates a 3D model;Using a blockchain-based smart contract, the unique identifier information of the 3D model of the worn clothing, the type of clothing worn, the name of the worn clothing, the number of transaction history of the clothing, the transaction amount of the 3D model of the worn clothing, the creator of the 3D model of the worn clothing, and the 3D worn clothing The current owner of the model, the date of creation of the 3D model of the clothing worn, the actual clothing seller, the actual clothing transaction amount, and the actual clothing size information. a worn clothing meta information generating unit generating worn clothing meta information including at least one item of actual clothing image information; And by inserting the worn clothing meta information into the worn clothing 3D model to generate metaverse clothing information, and matching the metaverse clothing information to at least one blockchain-based cryptocurrency to perform non-fungible tokenization to obtain NFT clothing information Including an NFT clothing information generation unit that generates a feature point connection structure model generation unit, the artificial neural network-based feature point connection structure conversion model includes an area segmentation module composed of a plurality of convolutional layers, a feature point extraction module, and a structure generation model module. The area segmentation module receives a character 3D model and a 3D clothing model as input to an artificial neural network-based body part segmentation model, and divides each body part of the character 3D model and the clothing 3D model into a plurality of body areas, Among the divided body areas, the body area included in the clothing 3D model is selected as at least one feature point extraction target area to generate feature point extraction target area information, and the feature point extraction module, Character 3D model, clothing 3D model, and feature point extraction target area information are input, and a preset number of vertices constituting the shape of the body are derived for the feature point extraction target area, and designated as feature points, and feature points for each area for each 3D model information, and the structure generation module receives character 3D model, clothing 3D model, and feature point information for each area, and converts a plurality of feature points derived from the character 3D model and clothing 3D model into a plurality of straight lines or curves, respectively. A character feature point connected structure model and a clothing feature point connected structure model are created by forming a feature point connected structure capable of representing a three-dimensional shape and volume by connecting, and the wearing clothing 3D model generation unit generates the costume feature point connected structure In changing the position of a plurality of feature points included in the model, a vector value for the position of the changed feature point is calculated for each feature point, Even after multiplying each vector value by the feature points located on a straight line in the feature point connected structure of the clothing feature point connected structure model, each feature point is located on a straight line, and the feature point connected structure of the clothing feature point connected structure model is a curve with a certain curvature NFT-based metaverse wearing clothing information generation system, characterized in that the location change is limited so that each feature point is located on a curve with a constant curvature even after multiplying the feature points located on the image by each vector value.</t>
  </si>
  <si>
    <t>a clothing design information generation unit configured to sense shape data of actual clothing and generate clothing design information including length, size, ratio, texture, and shape information;Character appearance information generation unit for generating character appearance information by receiving the size, body shape, length, shape, texture information of the fitting target metaverse character from the server of the metaverse;a 3D model generation unit for generating a 3D character model by modeling the outer appearance of the character in 3D based on the outer appearance information of the character, and generating a 3D model of clothing by modeling the outer appearance of the clothing in 3D using the clothing design information;A plurality of feature points for the appearance of each 3D model are extracted by inputting the character 3D model and the costume 3D model to the artificial neural network-based feature point connection structure transformation model, and the plurality of extracted feature points are connected to form a shape structure a characteristic point connected structure model generating unit for generating a character feature point connected structure model converted into a feature point connected structure model and a clothing feature point connected structure model;Feature point matching information for generating feature point matching information including information on each matched feature point pair by matching a plurality of points included in the character feature point connected structure and a plurality of points included in the costume feature point connected structure model. generating unit;According to the information on each feature point pair of the feature point connection matching information, the feature points of the character feature point connection structure model matched with the feature points included in the costume feature point connection structure model are matched to the costume feature point connection structure model. By changing the position of a plurality of included feature points, the shape of the clothing feature point connection structure model is converted, and the clothing 3D model is converted based on the converted clothing feature point connection structure model to wear clothing that can be worn on the fitting target metaverse character a wearing clothing 3D model generation unit that creates a 3D model;Using a blockchain-based smart contract, the unique identifier information of the 3D model of the worn clothing, the type of clothing worn, the name of the worn clothing, the number of transaction history of the clothing, the transaction amount of the 3D model of the worn clothing, the creator of the 3D model of the worn clothing, and the 3D worn clothing The current owner of the model, the date of creation of the 3D model of the clothing worn, the actual clothing seller, the actual clothing transaction amount, and the actual clothing size information. a worn clothing meta information generating unit generating worn clothing meta information including at least one item of actual clothing image information; And by inserting the worn clothing meta information into the worn clothing 3D model to generate metaverse clothing information, and matching the metaverse clothing information to at least one blockchain-based cryptocurrency to perform non-fungible tokenization to obtain NFT clothing information Including an NFT clothing information generation unit that generates a feature point connection structure model generation unit, the artificial neural network-based feature point connection structure conversion model includes an area segmentation module composed of a plurality of convolutional layers, a feature point extraction module, and a structure generation model module. The area segmentation module receives a character 3D model and a 3D clothing model as input to an artificial neural network-based body part segmentation model, and divides each body part of the character 3D model and the clothing 3D model into a plurality of body areas, Among the divided body areas, the body area included in the clothing 3D model is selected as at least one feature point extraction target area to generate feature point extraction target area information, and the feature point extraction module, Character 3D model, clothing 3D model, and feature point extraction target area information are input, and a preset number of vertices constituting the shape of the body are derived for the feature point extraction target area, and designated as feature points, and feature points for each area for each 3D model information, and the structure generation module receives character 3D model, clothing 3D model, and feature point information for each area, and converts a plurality of feature points derived from the character 3D model and clothing 3D model into a plurality of straight lines or curves, respectively. A character feature point connected structure model and a clothing feature point connected structure model are created by forming a feature point connected structure capable of representing a three-dimensional shape and volume by connecting, and the wearing clothing 3D model generation unit generates the costume feature point connected structure In changing the position of a plurality of feature points included in the model, a vector value for the position of the changed feature point is calculated for each feature point, Even after multiplying each vector value by the feature points located on a straight line in the feature point connected structure of the clothing feature point connected structure model, each feature point is located on a straight line, and the feature point connected structure of the clothing feature point connected structure model is a curve with a certain curvature NFT-based metaverse wearing clothing information generation system, characterized in that the location change is limited so that each feature point is located on a curve with a constant curvature even after multiplying the feature points located on the image by each vector value.
a clothing design information generation unit configured to sense shape data of actual clothing and generate clothing design information including length, size, ratio, texture, and shape information;Character appearance information generation unit for generating character appearance information by receiving the size, body shape, length, shape, texture information of the fitting target metaverse character from the server of the metaverse;a 3D model generation unit for generating a 3D character model by modeling the outer appearance of the character in 3D based on the outer appearance information of the character, and generating a 3D model of clothing by modeling the outer appearance of the clothing in 3D using the clothing design information;A plurality of feature points for the appearance of each 3D model are extracted by inputting the character 3D model and the costume 3D model to the artificial neural network-based feature point connection structure transformation model, and the plurality of extracted feature points are connected to form a shape structure a characteristic point connected structure model generating unit for generating a character feature point connected structure model converted into a feature point connected structure model and a clothing feature point connected structure model;Feature point matching information for generating feature point matching information including information on each matched feature point pair by matching a plurality of points included in the character feature point connected structure and a plurality of points included in the costume feature point connected structure model. generating unit;According to the information on each feature point pair of the feature point connection matching information, the feature points of the character feature point connection structure model matched with the feature points included in the costume feature point connection structure model are matched to the costume feature point connection structure model. By changing the position of a plurality of included feature points, the shape of the clothing feature point connection structure model is converted, and the clothing 3D model is converted based on the converted clothing feature point connection structure model to wear clothing that can be worn on the fitting target metaverse character a wearing clothing 3D model generation unit that creates a 3D model;Using a blockchain-based smart contract, the unique identifier information of the 3D model of the worn clothing, the type of clothing worn, the name of the worn clothing, the number of transaction history of the clothing, the transaction amount of the 3D model of the worn clothing, the creator of the 3D model of the worn clothing, and the 3D worn clothing The current owner of the model, the date of creation of the 3D model of the clothing worn, the actual clothing seller, the actual clothing transaction amount, and the actual clothing size information. a worn clothing meta information generating unit generating worn clothing meta information including at least one item of actual clothing image information; And by inserting the worn clothing meta information into the worn clothing 3D model to generate metaverse clothing information, and matching the metaverse clothing information to at least one blockchain-based cryptocurrency to perform non-fungible tokenization to obtain NFT clothing information Including an NFT clothing information generation unit that generates a feature point connection structure model generation unit, the artificial neural network-based feature point connection structure conversion model includes an area segmentation module composed of a plurality of convolutional layers, a feature point extraction module, and a structure generation model module. The area segmentation module receives a character 3D model and a 3D clothing model as input to an artificial neural network-based body part segmentation model, and divides each body part of the character 3D model and the clothing 3D model into a plurality of body areas, Among the divided body areas, the body area included in the clothing 3D model is selected as at least one feature point extraction target area to generate feature point extraction target area information, and the feature point extraction module, Character 3D model, clothing 3D model, and feature point extraction target area information are input, and a preset number of vertices constituting the shape of the body are derived for the feature point extraction target area, and designated as feature points, and feature points for each area for each 3D model information, and the structure generation module receives character 3D model, clothing 3D model, and feature point information for each area, and converts a plurality of feature points derived from the character 3D model and clothing 3D model into a plurality of straight lines or curves, respectively. A character feature point connected structure model and a clothing feature point connected structure model are created by forming a feature point connected structure capable of representing a three-dimensional shape and volume by connecting, and the wearing clothing 3D model generation unit generates the costume feature point connected structure In changing the position of a plurality of feature points included in the model, a vector value for the position of the changed feature point is calculated for each feature point, Even after multiplying each vector value by the feature points located on a straight line in the feature point connected structure of the clothing feature point connected structure model, each feature point is located on a straight line, and the feature point connected structure of the clothing feature point connected structure model is a curve with a certain curvature Even after multiplying the feature points located on the image by each vector value, the position change is limited so that each feature point is positioned on a curve with a constant curvature, and the feature point extraction module includes a first module composed of a plurality of convolutional layers, a second module, It includes a third module, and the first module receives the character 3D model, clothing 3D model, and feature point extraction target area information to a first deep learning network formed through a plurality of convolutional layers, and the feature point extraction target area is targeted NFT-based metaverse wearing clothing information generation system, characterized in that for generating a plurality of first feature point output information by deriving a preset number of feature points with.
a clothing design information generation unit configured to sense shape data of actual clothing and generate clothing design information including length, size, ratio, texture, and shape information;Character appearance information generation unit for generating character appearance information by receiving the size, body shape, length, shape, texture information of the fitting target metaverse character from the server of the metaverse;a 3D model generation unit for generating a 3D character model by modeling the outer appearance of the character in 3D based on the outer appearance information of the character, and generating a 3D model of clothing by modeling the outer appearance of the clothing in 3D using the clothing design information;A plurality of feature points for the appearance of each 3D model are extracted by inputting the character 3D model and the costume 3D model to the artificial neural network-based feature point connection structure transformation model, and the plurality of extracted feature points are connected to form a shape structure a characteristic point connected structure model generating unit for generating a character feature point connected structure model converted into a feature point connected structure model and a clothing feature point connected structure model;Feature point matching information for generating feature point matching information including information on each matched feature point pair by matching a plurality of points included in the character feature point connected structure and a plurality of points included in the costume feature point connected structure model. generating unit;According to the information on each feature point pair of the feature point connection matching information, the feature points of the character feature point connection structure model matched with the feature points included in the costume feature point connection structure model are matched to the costume feature point connection structure model. By changing the position of a plurality of included feature points, the shape of the clothing feature point connection structure model is converted, and the clothing 3D model is converted based on the converted clothing feature point connection structure model to wear clothing that can be worn on the fitting target metaverse character a wearing clothing 3D model generation unit that creates a 3D model;Using a blockchain-based smart contract, the unique identifier information of the 3D model of the worn clothing, the type of clothing worn, the name of the worn clothing, the number of transaction history of the clothing, the transaction amount of the 3D model of the worn clothing, the creator of the 3D model of the worn clothing, and the 3D worn clothing The current owner of the model, the date of creation of the 3D model of the clothing worn, the actual clothing seller, the actual clothing transaction amount, and the actual clothing size information. a worn clothing meta information generating unit generating worn clothing meta information including at least one item of actual clothing image information; And by inserting the worn clothing meta information into the worn clothing 3D model to generate metaverse clothing information, and matching the metaverse clothing information to at least one blockchain-based cryptocurrency to perform non-fungible tokenization to obtain NFT clothing information Including an NFT clothing information generation unit that generates a feature point connection structure model generation unit, the artificial neural network-based feature point connection structure conversion model includes an area segmentation module composed of a plurality of convolutional layers, a feature point extraction module, and a structure generation model module. The area segmentation module receives a character 3D model and a 3D clothing model as input to an artificial neural network-based body part segmentation model, and divides each body part of the character 3D model and the clothing 3D model into a plurality of body areas, Among the divided body areas, the body area included in the clothing 3D model is selected as at least one feature point extraction target area to generate feature point extraction target area information, and the feature point extraction module, Character 3D model, clothing 3D model, and feature point extraction target area information are input, and a preset number of vertices constituting the shape of the body are derived for the feature point extraction target area, and designated as feature points, and feature points for each area for each 3D model information, and the structure generation module receives character 3D model, clothing 3D model, and feature point information for each area, and converts a plurality of feature points derived from the character 3D model and clothing 3D model into a plurality of straight lines or curves, respectively. A character feature point connected structure model and a clothing feature point connected structure model are created by forming a feature point connected structure capable of representing a three-dimensional shape and volume by connecting, and the wearing clothing 3D model generation unit generates the costume feature point connected structure In changing the position of a plurality of feature points included in the model, a vector value for the position of the changed feature point is calculated for each feature point, Even after multiplying each vector value by the feature points located on a straight line in the feature point connected structure of the clothing feature point connected structure model, each feature point is located on a straight line, and the feature point connected structure of the clothing feature point connected structure model is a curve with a certain curvature Even after multiplying the feature points located on the image by each vector value, the position change is limited so that each feature point is positioned on a curve with a constant curvature, and the feature point extraction module includes a first module composed of a plurality of convolutional layers, a second module, It includes a third module, wherein the first module receives the character 3D model, clothing 3D model, and feature point extraction target area information to a first deep learning network formed through a plurality of convolutional layers, and the feature point extraction target area is targeted Deriving a preset number of feature points to generate a plurality of first feature point output information, and the second module transmits the character 3D model and clothing 3D model to a second deep learning network formed through a plurality of convolutional layers, NFT-based metaverse wearing clothing information generation system, characterized in that by receiving feature point extraction target area information and generating a plurality of second feature point output information by deriving a preset number of feature points for the feature point extraction target area.
a clothing design information generation unit configured to sense shape data of actual clothing and generate clothing design information including length, size, ratio, texture, and shape information;Character appearance information generation unit for generating character appearance information by receiving the size, body shape, length, shape, texture information of the fitting target metaverse character from the server of the metaverse;a 3D model generation unit for generating a 3D character model by modeling the outer appearance of the character in 3D based on the outer appearance information of the character, and generating a 3D model of clothing by modeling the outer appearance of the clothing in 3D using the clothing design information;A plurality of feature points for the appearance of each 3D model are extracted by inputting the character 3D model and the costume 3D model to the artificial neural network-based feature point connection structure transformation model, and the plurality of extracted feature points are connected to form a shape structure a characteristic point connected structure model generating unit for generating a character feature point connected structure model converted into a feature point connected structure model and a clothing feature point connected structure model;Feature point matching information for generating feature point matching information including information on each matched feature point pair by matching a plurality of points included in the character feature point connected structure and a plurality of points included in the costume feature point connected structure model. generating unit;According to the information on each feature point pair of the feature point connection matching information, the feature points of the character feature point connection structure model matched with the feature points included in the costume feature point connection structure model are matched to the costume feature point connection structure model. By changing the position of a plurality of included feature points, the shape of the clothing feature point connection structure model is converted, and the clothing 3D model is converted based on the converted clothing feature point connection structure model to wear clothing that can be worn on the fitting target metaverse character a wearing clothing 3D model generation unit that creates a 3D model;Using a blockchain-based smart contract, the unique identifier information of the 3D model of the worn clothing, the type of clothing worn, the name of the worn clothing, the number of transaction history of the clothing, the transaction amount of the 3D model of the worn clothing, the creator of the 3D model of the worn clothing, and the 3D worn clothing The current owner of the model, the date of creation of the 3D model of the clothing worn, the actual clothing seller, the actual clothing transaction amount, and the actual clothing size information. a worn clothing meta information generating unit generating worn clothing meta information including at least one item of actual clothing image information; And by inserting the worn clothing meta information into the worn clothing 3D model to generate metaverse clothing information, and matching the metaverse clothing information to at least one blockchain-based cryptocurrency to perform non-fungible tokenization to obtain NFT clothing information Including an NFT clothing information generation unit that generates a feature point connection structure model generation unit, the artificial neural network-based feature point connection structure conversion model includes an area segmentation module composed of a plurality of convolutional layers, a feature point extraction module, and a structure generation model module. The area segmentation module receives a character 3D model and a 3D clothing model as input to an artificial neural network-based body part segmentation model, and divides each body part of the character 3D model and the clothing 3D model into a plurality of body areas, Among the divided body areas, the body area included in the clothing 3D model is selected as at least one feature point extraction target area to generate feature point extraction target area information, and the feature point extraction module, Character 3D model, clothing 3D model, and feature point extraction target area information are input, and a preset number of vertices constituting the shape of the body are derived for the feature point extraction target area, and designated as feature points, and feature points for each area for each 3D model information, and the structure generation module receives character 3D model, clothing 3D model, and feature point information for each area, and converts a plurality of feature points derived from the character 3D model and clothing 3D model into a plurality of straight lines or curves, respectively. A character feature point connected structure model and a clothing feature point connected structure model are created by forming a feature point connected structure capable of representing a three-dimensional shape and volume by connecting, and the wearing clothing 3D model generation unit generates the costume feature point connected structure In changing the position of a plurality of feature points included in the model, a vector value for the position of the changed feature point is calculated for each feature point, Even after multiplying each vector value by the feature points located on a straight line in the feature point connected structure of the clothing feature point connected structure model, each feature point is located on a straight line, and the feature point connected structure of the clothing feature point connected structure model is a curve with a certain curvature Even after multiplying the feature points located on the image by each vector value, the position change is limited so that each feature point is positioned on a curve with a constant curvature, and the feature point extraction module includes a first module composed of a plurality of convolutional layers, a second module, It includes a third module, wherein the first module receives the character 3D model, clothing 3D model, and feature point extraction target area information to a first deep learning network formed through a plurality of convolutional layers, and the feature point extraction target area is targeted Deriving a preset number of feature points to generate a plurality of first feature point output information, and the second module transmits the character 3D model and clothing 3D model to a second deep learning network formed through a plurality of convolutional layers, Upon receiving feature point extraction target area information, a predetermined number of feature points are derived from the feature point extraction target area to generate a plurality of second feature point output information, and the third module generates a plurality of second feature point output information, the first feature point output information, and second feature points. A weight of 0 to 1 or less is applied to the first feature point output information and the second feature point output information selected by receiving the output information, respectively, and the weighted first feature point output information and the second feature point output information are selected within a predetermined range. NFT-based metaverse wearing clothing information generation system, characterized in that by normalizing with a value to derive a preset number of feature points for the feature point extraction target area.
a clothing design information generation unit configured to sense shape data of actual clothing and generate clothing design information including length, size, ratio, texture, and shape information;Character appearance information generation unit for generating character appearance information by receiving the size, body shape, length, shape, texture information of the fitting target metaverse character from the server of the metaverse;a 3D model generation unit for generating a 3D character model by modeling the outer appearance of the character in 3D based on the outer appearance information of the character, and generating a 3D model of clothing by modeling the outer appearance of the clothing in 3D using the clothing design information;A plurality of feature points for the appearance of each 3D model are extracted by inputting the character 3D model and the costume 3D model to the artificial neural network-based feature point connection structure transformation model, and the plurality of extracted feature points are connected to form a shape structure a characteristic point connected structure model generating unit for generating a character feature point connected structure model converted into a feature point connected structure model and a clothing feature point connected structure model;Feature point matching information for generating feature point matching information including information on each matched feature point pair by matching a plurality of points included in the character feature point connected structure and a plurality of points included in the costume feature point connected structure model. generating unit;According to the information on each feature point pair of the feature point connection matching information, the feature points of the character feature point connection structure model matched with the feature points included in the costume feature point connection structure model are matched to the costume feature point connection structure model. By changing the position of a plurality of included feature points, the shape of the clothing feature point connection structure model is converted, and the clothing 3D model is converted based on the converted clothing feature point connection structure model to wear clothing that can be worn on the fitting target metaverse character a wearing clothing 3D model generation unit that creates a 3D model;Using a blockchain-based smart contract, the unique identifier information of the 3D model of the worn clothing, the type of clothing worn, the name of the worn clothing, the number of transaction history of the clothing, the transaction amount of the 3D model of the worn clothing, the creator of the 3D model of the worn clothing, and the 3D worn clothing The current owner of the model, the date of creation of the 3D model of the clothing worn, the actual clothing seller, the actual clothing transaction amount, and the actual clothing size information. a worn clothing meta information generating unit generating worn clothing meta information including at least one item of actual clothing image information; And by inserting the worn clothing meta information into the worn clothing 3D model to generate metaverse clothing information, and matching the metaverse clothing information to at least one blockchain-based cryptocurrency to perform non-fungible tokenization to obtain NFT clothing information Including an NFT clothing information generation unit that generates a feature point connection structure model generation unit, the artificial neural network-based feature point connection structure conversion model includes an area segmentation module composed of a plurality of convolutional layers, a feature point extraction module, and a structure generation model module. The area segmentation module receives a character 3D model and a 3D clothing model as input to an artificial neural network-based body part segmentation model, and divides each body part of the character 3D model and the clothing 3D model into a plurality of body areas, Among the divided body areas, the body area included in the clothing 3D model is selected as at least one feature point extraction target area to generate feature point extraction target area information, and the feature point extraction module, Character 3D model, clothing 3D model, and feature point extraction target area information are input, and a preset number of vertices constituting the shape of the body are derived for the feature point extraction target area, and designated as feature points, and feature points for each area for each 3D model information, and the structure generation module receives character 3D model, clothing 3D model, and feature point information for each area, and converts a plurality of feature points derived from the character 3D model and clothing 3D model into a plurality of straight lines or curves, respectively. A character feature point *** truncated to 32500 characters ***</t>
  </si>
  <si>
    <t>G06T0019200000</t>
  </si>
  <si>
    <t>G06T01920000</t>
  </si>
  <si>
    <t>G06T01920000 | G06Q03002000 | G06Q03006000 | G06T01340000 | G06T01720000 | G06T01900000</t>
  </si>
  <si>
    <t>KR102475823B1</t>
  </si>
  <si>
    <t>$20251</t>
  </si>
  <si>
    <t>KR102475823 B1</t>
  </si>
  <si>
    <t>I-000233564601</t>
  </si>
  <si>
    <t>20 years from 2022-01-17 (file date)</t>
  </si>
  <si>
    <t>https://patentscout.innography.com/share/Jtcqz8aNl7JBQG7wVIrQgQ%3D%3D</t>
  </si>
  <si>
    <t>2022-12-05-DIVISIONAL APPLICATION OF PATENT|2022-12-05-WRITTEN DECISION TO GRANT</t>
  </si>
  <si>
    <t>https://patentscout.innography.com/share/Jtcqz8aNl7JBQG7wVIrQgQ%3D%3D/download</t>
  </si>
  <si>
    <t>https://v3.espacenet.com/publicationDetails/biblio?CC=KR&amp;NR=102475823B1&amp;KC=B1&amp;FT=D&amp;date=20221209&amp;DB=EPODOC&amp;locale=</t>
  </si>
  <si>
    <t>KR20102475823 B1</t>
  </si>
  <si>
    <t>1.  a clothing design information generation unit configured to sense shape data of actual clothing and generate clothing design information including length, size, ratio, texture, and shape information;Character appearance information generation unit for generating character appearance information by receiving the size, body shape, length, shape, texture information of the fitting target metaverse character from the server of the metaverse;a 3D model generation unit for generating a 3D character model by modeling the outer appearance of the character in 3D based on the outer appearance information of the character, and generating a 3D model of clothing by modeling the outer appearance of the clothing in 3D using the clothing design information;A plurality of feature points for the appearance of each 3D model are extracted by inputting the character 3D model and the costume 3D model to the artificial neural network-based feature point connection structure transformation model, and the plurality of extracted feature points are connected to form a shape structure a characteristic point connected structure model generating unit for generating a character feature point connected structure model converted into a feature point connected structure model and a clothing feature point connected structure model;Feature point matching information for generating feature point matching information including information on each matched feature point pair by matching a plurality of points included in the character feature point connected structure and a plurality of points included in the costume feature point connected structure model. generating unit;According to the information on each feature point pair of the feature point connection matching information, the feature points of the character feature point connection structure model matched with the feature points included in the costume feature point connection structure model are matched to the costume feature point connection structure model. By changing the position of a plurality of included feature points, the shape of the clothing feature point connection structure model is converted, and the clothing 3D model is converted based on the converted clothing feature point connection structure model to wear clothing that can be worn on the fitting target metaverse character a wearing clothing 3D model generation unit that creates a 3D model;Using a blockchain-based smart contract, the unique identifier information of the 3D model of the worn clothing, the type of clothing worn, the name of the worn clothing, the number of transaction history of the clothing, the transaction amount of the 3D model of the worn clothing, the creator of the 3D model of the worn clothing, and the 3D worn clothing The current owner of the model, the date of creation of the 3D model of the clothing worn, the actual clothing seller, the actual clothing transaction amount, and the actual clothing size information. a worn clothing meta information generating unit generating worn clothing meta information including at least one item of actual clothing image information; And by inserting the worn clothing meta information into the worn clothing 3D model to generate metaverse clothing information, and matching the metaverse clothing information to at least one blockchain-based cryptocurrency to perform non-fungible tokenization to obtain NFT clothing information Including an NFT clothing information generation unit that generates a feature point connection structure model generation unit, the artificial neural network-based feature point connection structure conversion model includes an area segmentation module composed of a plurality of convolutional layers, a feature point extraction module, and a structure generation model module. The area segmentation module receives a character 3D model and a 3D clothing model as input to an artificial neural network-based body part segmentation model, and divides each body part of the character 3D model and the clothing 3D model into a plurality of body areas, Among the divided body areas, the body area included in the clothing 3D model is selected as at least one feature point extraction target area to generate feature point extraction target area information, and the feature point extraction module, Character 3D model, clothing 3D model, and feature point extraction target area information are input, and a preset number of vertices constituting the shape of the body are derived for the feature point extraction target area, and designated as feature points, and feature points for each area for each 3D model information, and the structure generation module receives character 3D model, clothing 3D model, and feature point information for each area, and converts a plurality of feature points derived from the character 3D model and clothing 3D model into a plurality of straight lines or curves, respectively. A character feature point connected structure model and a clothing feature point connected structure model are created by forming a feature point connected structure capable of representing a three-dimensional shape and volume by connecting, and the wearing clothing 3D model generation unit generates the costume feature point connected structure In changing the position of a plurality of feature points included in the model, a vector value for the position of the changed feature point is calculated for each feature point, Even after multiplying each vector value by the feature points located on a straight line in the feature point connected structure of the clothing feature point connected structure model, each feature point is located on a straight line, and the feature point connected structure of the clothing feature point connected structure model is a curve with a certain curvature NFT-based metaverse wearing clothing information generation system, characterized in that the location change is limited so that each feature point is located on a curve with a constant curvature even after multiplying the feature points located on the image by each vector value.</t>
  </si>
  <si>
    <t>2.  a clothing design information generation unit configured to sense shape data of actual clothing and generate clothing design information including length, size, ratio, texture, and shape information;Character appearance information generation unit for generating character appearance information by receiving the size, body shape, length, shape, texture information of the fitting target metaverse character from the server of the metaverse;a 3D model generation unit for generating a 3D character model by modeling the outer appearance of the character in 3D based on the outer appearance information of the character, and generating a 3D model of clothing by modeling the outer appearance of the clothing in 3D using the clothing design information;A plurality of feature points for the appearance of each 3D model are extracted by inputting the character 3D model and the costume 3D model to the artificial neural network-based feature point connection structure transformation model, and the plurality of extracted feature points are connected to form a shape structure a characteristic point connected structure model generating unit for generating a character feature point connected structure model converted into a feature point connected structure model and a clothing feature point connected structure model;Feature point matching information for generating feature point matching information including information on each matched feature point pair by matching a plurality of points included in the character feature point connected structure and a plurality of points included in the costume feature point connected structure model. generating unit;According to the information on each feature point pair of the feature point connection matching information, the feature points of the character feature point connection structure model matched with the feature points included in the costume feature point connection structure model are matched to the costume feature point connection structure model. By changing the position of a plurality of included feature points, the shape of the clothing feature point connection structure model is converted, and the clothing 3D model is converted based on the converted clothing feature point connection structure model to wear clothing that can be worn on the fitting target metaverse character a wearing clothing 3D model generation unit that creates a 3D model;Using a blockchain-based smart contract, the unique identifier information of the 3D model of the worn clothing, the type of clothing worn, the name of the worn clothing, the number of transaction history of the clothing, the transaction amount of the 3D model of the worn clothing, the creator of the 3D model of the worn clothing, and the 3D worn clothing The current owner of the model, the date of creation of the 3D model of the clothing worn, the actual clothing seller, the actual clothing transaction amount, and the actual clothing size information. a worn clothing meta information generating unit generating worn clothing meta information including at least one item of actual clothing image information; And by inserting the worn clothing meta information into the worn clothing 3D model to generate metaverse clothing information, and matching the metaverse clothing information to at least one blockchain-based cryptocurrency to perform non-fungible tokenization to obtain NFT clothing information Including an NFT clothing information generation unit that generates a feature point connection structure model generation unit, the artificial neural network-based feature point connection structure conversion model includes an area segmentation module composed of a plurality of convolutional layers, a feature point extraction module, and a structure generation model module. The area segmentation module receives a character 3D model and a 3D clothing model as input to an artificial neural network-based body part segmentation model, and divides each body part of the character 3D model and the clothing 3D model into a plurality of body areas, Among the divided body areas, the body area included in the clothing 3D model is selected as at least one feature point extraction target area to generate feature point extraction target area information, and the feature point extraction module, Character 3D model, clothing 3D model, and feature point extraction target area information are input, and a preset number of vertices constituting the shape of the body are derived for the feature point extraction target area, and designated as feature points, and feature points for each area for each 3D model information, and the structure generation module receives character 3D model, clothing 3D model, and feature point information for each area, and converts a plurality of feature points derived from the character 3D model and clothing 3D model into a plurality of straight lines or curves, respectively. A character feature point connected structure model and a clothing feature point connected structure model are created by forming a feature point connected structure capable of representing a three-dimensional shape and volume by connecting, and the wearing clothing 3D model generation unit generates the costume feature point connected structure In changing the position of a plurality of feature points included in the model, a vector value for the position of the changed feature point is calculated for each feature point, Even after multiplying each vector value by the feature points located on a straight line in the feature point connected structure of the clothing feature point connected structure model, each feature point is located on a straight line, and the feature point connected structure of the clothing feature point connected structure model is a curve with a certain curvature Even after multiplying the feature points located on the image by each vector value, the position change is limited so that each feature point is positioned on a curve with a constant curvature, and the feature point extraction module includes a first module composed of a plurality of convolutional layers, a second module, It includes a third module, and the first module receives the character 3D model, clothing 3D model, and feature point extraction target area information to a first deep learning network formed through a plurality of convolutional layers, and the feature point extraction target area is targeted NFT-based metaverse wearing clothing information generation system, characterized in that for generating a plurality of first feature point output information by deriving a preset number of feature points with.</t>
  </si>
  <si>
    <t>3.  a clothing design information generation unit configured to sense shape data of actual clothing and generate clothing design information including length, size, ratio, texture, and shape information;Character appearance information generation unit for generating character appearance information by receiving the size, body shape, length, shape, texture information of the fitting target metaverse character from the server of the metaverse;a 3D model generation unit for generating a 3D character model by modeling the outer appearance of the character in 3D based on the outer appearance information of the character, and generating a 3D model of clothing by modeling the outer appearance of the clothing in 3D using the clothing design information;A plurality of feature points for the appearance of each 3D model are extracted by inputting the character 3D model and the costume 3D model to the artificial neural network-based feature point connection structure transformation model, and the plurality of extracted feature points are connected to form a shape structure a characteristic point connected structure model generating unit for generating a character feature point connected structure model converted into a feature point connected structure model and a clothing feature point connected structure model;Feature point matching information for generating feature point matching information including information on each matched feature point pair by matching a plurality of points included in the character feature point connected structure and a plurality of points included in the costume feature point connected structure model. generating unit;According to the information on each feature point pair of the feature point connection matching information, the feature points of the character feature point connection structure model matched with the feature points included in the costume feature point connection structure model are matched to the costume feature point connection structure model. By changing the position of a plurality of included feature points, the shape of the clothing feature point connection structure model is converted, and the clothing 3D model is converted based on the converted clothing feature point connection structure model to wear clothing that can be worn on the fitting target metaverse character a wearing clothing 3D model generation unit that creates a 3D model;Using a blockchain-based smart contract, the unique identifier information of the 3D model of the worn clothing, the type of clothing worn, the name of the worn clothing, the number of transaction history of the clothing, the transaction amount of the 3D model of the worn clothing, the creator of the 3D model of the worn clothing, and the 3D worn clothing The current owner of the model, the date of creation of the 3D model of the clothing worn, the actual clothing seller, the actual clothing transaction amount, and the actual clothing size information. a worn clothing meta information generating unit generating worn clothing meta information including at least one item of actual clothing image information; And by inserting the worn clothing meta information into the worn clothing 3D model to generate metaverse clothing information, and matching the metaverse clothing information to at least one blockchain-based cryptocurrency to perform non-fungible tokenization to obtain NFT clothing information Including an NFT clothing information generation unit that generates a feature point connection structure model generation unit, the artificial neural network-based feature point connection structure conversion model includes an area segmentation module composed of a plurality of convolutional layers, a feature point extraction module, and a structure generation model module. The area segmentation module receives a character 3D model and a 3D clothing model as input to an artificial neural network-based body part segmentation model, and divides each body part of the character 3D model and the clothing 3D model into a plurality of body areas, Among the divided body areas, the body area included in the clothing 3D model is selected as at least one feature point extraction target area to generate feature point extraction target area information, and the feature point extraction module, Character 3D model, clothing 3D model, and feature point extraction target area information are input, and a preset number of vertices constituting the shape of the body are derived for the feature point extraction target area, and designated as feature points, and feature points for each area for each 3D model information, and the structure generation module receives character 3D model, clothing 3D model, and feature point information for each area, and converts a plurality of feature points derived from the character 3D model and clothing 3D model into a plurality of straight lines or curves, respectively. A character feature point connected structure model and a clothing feature point connected structure model are created by forming a feature point connected structure capable of representing a three-dimensional shape and volume by connecting, and the wearing clothing 3D model generation unit generates the costume feature point connected structure In changing the position of a plurality of feature points included in the model, a vector value for the position of the changed feature point is calculated for each feature point, Even after multiplying each vector value by the feature points located on a straight line in the feature point connected structure of the clothing feature point connected structure model, each feature point is located on a straight line, and the feature point connected structure of the clothing feature point connected structure model is a curve with a certain curvature Even after multiplying the feature points located on the image by each vector value, the position change is limited so that each feature point is positioned on a curve with a constant curvature, and the feature point extraction module includes a first module composed of a plurality of convolutional layers, a second module, It includes a third module, wherein the first module receives the character 3D model, clothing 3D model, and feature point extraction target area information to a first deep learning network formed through a plurality of convolutional layers, and the feature point extraction target area is targeted Deriving a preset number of feature points to generate a plurality of first feature point output information, and the second module transmits the character 3D model and clothing 3D model to a second deep learning network formed through a plurality of convolutional layers, NFT-based metaverse wearing clothing information generation system, characterized in that by receiving feature point extraction target area information and generating a plurality of second feature point output information by deriving a preset number of feature points for the feature point extraction target area.</t>
  </si>
  <si>
    <t>4.  a clothing design information generation unit configured to sense shape data of actual clothing and generate clothing design information including length, size, ratio, texture, and shape information;Character appearance information generation unit for generating character appearance information by receiving the size, body shape, length, shape, texture information of the fitting target metaverse character from the server of the metaverse;a 3D model generation unit for generating a 3D character model by modeling the outer appearance of the character in 3D based on the outer appearance information of the character, and generating a 3D model of clothing by modeling the outer appearance of the clothing in 3D using the clothing design information;A plurality of feature points for the appearance of each 3D model are extracted by inputting the character 3D model and the costume 3D model to the artificial neural network-based feature point connection structure transformation model, and the plurality of extracted feature points are connected to form a shape structure a characteristic point connected structure model generating unit for generating a character feature point connected structure model converted into a feature point connected structure model and a clothing feature point connected structure model;Feature point matching information for generating feature point matching information including information on each matched feature point pair by matching a plurality of points included in the character feature point connected structure and a plurality of points included in the costume feature point connected structure model. generating unit;According to the information on each feature point pair of the feature point connection matching information, the feature points of the character feature point connection structure model matched with the feature points included in the costume feature point connection structure model are matched to the costume feature point connection structure model. By changing the position of a plurality of included feature points, the shape of the clothing feature point connection structure model is converted, and the clothing 3D model is converted based on the converted clothing feature point connection structure model to wear clothing that can be worn on the fitting target metaverse character a wearing clothing 3D model generation unit that creates a 3D model;Using a blockchain-based smart contract, the unique identifier information of the 3D model of the worn clothing, the type of clothing worn, the name of the worn clothing, the number of transaction history of the clothing, the transaction amount of the 3D model of the worn clothing, the creator of the 3D model of the worn clothing, and the 3D worn clothing The current owner of the model, the date of creation of the 3D model of the clothing worn, the actual clothing seller, the actual clothing transaction amount, and the actual clothing size information. a worn clothing meta information generating unit generating worn clothing meta information including at least one item of actual clothing image information; And by inserting the worn clothing meta information into the worn clothing 3D model to generate metaverse clothing information, and matching the metaverse clothing information to at least one blockchain-based cryptocurrency to perform non-fungible tokenization to obtain NFT clothing information Including an NFT clothing information generation unit that generates a feature point connection structure model generation unit, the artificial neural network-based feature point connection structure conversion model includes an area segmentation module composed of a plurality of convolutional layers, a feature point extraction module, and a structure generation model module. The area segmentation module receives a character 3D model and a 3D clothing model as input to an artificial neural network-based body part segmentation model, and divides each body part of the character 3D model and the clothing 3D model into a plurality of body areas, Among the divided body areas, the body area included in the clothing 3D model is selected as at least one feature point extraction target area to generate feature point extraction target area information, and the feature point extraction module, Character 3D model, clothing 3D model, and feature point extraction target area information are input, and a preset number of vertices constituting the shape of the body are derived for the feature point extraction target area, and designated as feature points, and feature points for each area for each 3D model information, and the structure generation module receives character 3D model, clothing 3D model, and feature point information for each area, and converts a plurality of feature points derived from the character 3D model and clothing 3D model into a plurality of straight lines or curves, respectively. A character feature point connected structure model and a clothing feature point connected structure model are created by forming a feature point connected structure capable of representing a three-dimensional shape and volume by connecting, and the wearing clothing 3D model generation unit generates the costume feature point connected structure In changing the position of a plurality of feature points included in the model, a vector value for the position of the changed feature point is calculated for each feature point, Even after multiplying each vector value by the feature points located on a straight line in the feature point connected structure of the clothing feature point connected structure model, each feature point is located on a straight line, and the feature point connected structure of the clothing feature point connected structure model is a curve with a certain curvature Even after multiplying the feature points located on the image by each vector value, the position change is limited so that each feature point is positioned on a curve with a constant curvature, and the feature point extraction module includes a first module composed of a plurality of convolutional layers, a second module, It includes a third module, wherein the first module receives the character 3D model, clothing 3D model, and feature point extraction target area information to a first deep learning network formed through a plurality of convolutional layers, and the feature point extraction target area is targeted Deriving a preset number of feature points to generate a plurality of first feature point output information, and the second module transmits the character 3D model and clothing 3D model to a second deep learning network formed through a plurality of convolutional layers, Upon receiving feature point extraction target area information, a predetermined number of feature points are derived from the feature point extraction target area to generate a plurality of second feature point output information, and the third module generates a plurality of second feature point output information, the first feature point output information, and second feature points. A weight of 0 to 1 or less is applied to the first feature point output information and the second feature point output information selected by receiving the output information, respectively, and the weighted first feature point output information and the second feature point output information are selected within a predetermined range. NFT-based metaverse wearing clothing information generation system, characterized in that by normalizing with a value to derive a preset number of feature points for the feature point extraction target area.</t>
  </si>
  <si>
    <t>5.  a clothing design information generation unit configured to sense shape data of actual clothing and generate clothing design information including length, size, ratio, texture, and shape information;Character appearance information generation unit for generating character appearance information by receiving the size, body shape, length, shape, texture information of the fitting target metaverse character from the server of the metaverse;a 3D model generation unit for generating a 3D character model by modeling the outer appearance of the character in 3D based on the outer appearance information of the character, and generating a 3D model of clothing by modeling the outer appearance of the clothing in 3D using the clothing design information;A plurality of feature points for the appearance of each 3D model are extracted by inputting the character 3D model and the costume 3D model to the artificial neural network-based feature point connection structure transformation model, and the plurality of extracted feature points are connected to form a shape structure a characteristic point connected structure model generating unit for generating a character feature point connected structure model converted into a feature point connected structure model and a clothing feature point connected structure model;Feature point matching information for generating feature point matching information including information on each matched feature point pair by matching a plurality of points included in the character feature point connected structure and a plurality of points included in the costume feature point connected structure model. generating unit;According to the information on each feature point pair of the feature point connection matching information, the feature points of the character feature point connection structure model matched with the feature points included in the costume feature point connection structure model are matched to the costume feature point connection structure model. By changing the position of a plurality of included feature points, the shape of the clothing feature point connection structure model is converted, and the clothing 3D model is converted based on the converted clothing feature point connection structure model to wear clothing that can be worn on the fitting target metaverse character a wearing clothing 3D model generation unit that creates a 3D model;Using a blockchain-based smart contract, the unique identifier information of the 3D model of the worn clothing, the type of clothing worn, the name of the worn clothing, the number of transaction history of the clothing, the transaction amount of the 3D model of the worn clothing, the creator of the 3D model of the worn clothing, and the 3D worn clothing The current owner of the model, the date of creation of the 3D model of the clothing worn, the actual clothing seller, the actual clothing transaction amount, and the actual clothing size information. a worn clothing meta information generating unit generating worn clothing meta information including at least one item of actual clothing image information; And by inserting the worn clothing meta information into the worn clothing 3D model to generate metaverse clothing information, and matching the metaverse clothing information to at least one blockchain-based cryptocurrency to perform non-fungible tokenization to obtain NFT clothing information Including an NFT clothing information generation unit that generates a feature point connection structure model generation unit, the artificial neural network-based feature point connection structure conversion model includes an area segmentation module composed of a plurality of convolutional layers, a feature point extraction module, and a structure generation model module. The area segmentation module receives a character 3D model and a 3D clothing model as input to an artificial neural network-based body part segmentation model, and divides each body part of the character 3D model and the clothing 3D model into a plurality of body areas, Among the divided body areas, the body area included in the clothing 3D model is selected as at least one feature point extraction target area to generate feature point extraction target area information, and the feature point extraction module, Character 3D model, clothing 3D model, and feature point extraction target area information are input, and a preset number of vertices constituting the shape of the body are derived for the feature point extraction target area, and designated as feature points, and feature points for each area for each 3D model information, and the structure generation module receives character 3D model, clothing 3D model, and feature point information for each area, and converts a plurality of feature points derived from the character 3D model and clothing 3D model into a plurality of straight lines or curves, respectively. A character feature point connected structure model and a clothing feature point connected structure model are created by forming a feature point connected structure capable of representing a three-dimensional shape and volume by connecting, and the wearing clothing 3D model generation unit generates the costume feature point connected structure In changing the position of a plurality of feature points included in the model, a vector value for the position of the changed feature point is calculated for each feature point, Even after multiplying each vector value by the feature points located on a straight line in the feature point connected structure of the clothing feature point connected structure model, each feature point is located on a straight line, and the feature point connected structure of the clothing feature point connected structure model is a curve with a certain curvature Even after multiplying the feature points located on the image by each vector value, the position change is limited so that each feature point is positioned on a curve with a constant curvature, and the feature point extraction module includes a first module composed of a plurality of convolutional layers, a second module, It includes a third module, wherein the first module receives the character 3D model, clothing 3D model, and feature point extraction target area information to a first deep learning network formed through a plurality of convolutional layers, and the feature point extraction target area is targeted Deriving a preset number of feature points to generate a plurality of first feature point output information, and the second module transmits the character 3D model and clothing 3D model to a second deep learning network formed through a plurality of convolutional layers, Upon receiving feature point extraction target area information, a predetermined number of feature points are derived from the feature point extraction target area to generate a plurality of second feature point output information, and the third module generates a plurality of second feature point output information, the first feature point output information, and second feature point output information. A weight of 0 to 1 or less is applied to the first feature point output information and the second feature point output information selected by receiving the output information, respectively, and the weighted first feature point output information and the second feature point output information are selected within a predetermined range. Value is normalized to derive a preset number of feature points targeting the feature point extraction target area, and using a blockchain-based smart contract, the actual clothing seller included in the NFT clothing information, the actual clothing transaction amount, and the actual clothing size information. Using actual clothing image information, NFT-based metaverse wearing clothing information generation system further comprising a clothing sales execution unit that provides information and sales functions on actual clothing.</t>
  </si>
  <si>
    <t>JP2021082367 A | KR101396566 B1 | KR102297468 B1 | KR102357499 B1 | KR20200081066 A | KR20220016348 A</t>
  </si>
  <si>
    <t>2022-12-15</t>
  </si>
  <si>
    <t>2022-06-02</t>
  </si>
  <si>
    <t>2042-06-02</t>
  </si>
  <si>
    <t>A system for providing simulation results performed in a metaverse environment according to an embodiment disclosed in this document includes an electronic device a metaverse server that provides a metaverse environment to the electronic device and the metaverse environment to the metaverse server. It may include a database server that provides implementation information to be implemented and an external device that provides observation information about the real world to the metaverse server or the database server. The electronic device establishes a wireless communication channel with the metaverse server through a communication circuit of the electronic device receives implementation information for implementing the metaverse environment from the metaverse server through the communication circuit and Based on the implementation information for implementing the environment to output a metaverse screen through the display of the electronic device and to check result information that satisfies the reference condition set by the user while outputting the metaverse screen A user input for performing simulation in the metaverse server is obtained and in response to obtaining the user input a command for performing the simulation is transmitted to the metaverse server and the command is information about the reference condition. can include The metaverse server in response to receiving the command from the electronic device uses artificial intelligence for the implementation information and the observation information to perform a simulation to confirm result information that satisfies the reference condition and Based on the simulation result result information satisfying the reference condition may be transmitted to the electronic device.</t>
  </si>
  <si>
    <t>Method and system for providing a metaverse base on digital twin</t>
  </si>
  <si>
    <t>KR20220067520A</t>
  </si>
  <si>
    <t>In a system that provides simulation results performed in a metaverse environment, the system includes an electronic device, a metaverse server that provides a metaverse environment to the electronic device, and implementation information for implementing the metaverse environment in the metaverse server. It includes a database server that provides, and an external device that provides observation information on the real world to the metaverse server or the database server, wherein the external device uses a lidar shooting method to view the real world. A device for obtaining the observation information by performing observation for the electronic device, the electronic device:Establishing a wireless communication channel with the metaverse server through the communication circuit of the electronic device, receiving implementation information for implementing the metaverse environment from the metaverse server through the communication circuit, and implementing the metaverse environment Based on the implementation information, to output the metaverse screen through the display of the electronic device, and to check the result information satisfying the standard condition set by the user while outputting the metaverse screen, in the metaverse server Obtaining a user input for performing simulation, and in response to obtaining the user input, transmitting a command for performing the simulation to the metaverse server, the command including information on the reference condition, The metaverse server:In response to receiving the command from the electronic device, using artificial intelligence for the implementation information and the observation information, simulation is performed to determine result information that satisfies the reference condition, and based on the simulation result,, Transmitting result information satisfying the reference condition to the electronic device, receiving the observation information obtained by the external device observing the real world using the lidar imaging method from the external device, Receives, from a database server, the implementation information for implementing the metaverse environment, compares the observation information and the implementation information, determines a difference value of the comparison result data based on the comparison result, and determines the difference If the value is greater than or equal to the reference value, the implementation information is updated, and the updated implementation information is transmitted to the electronic device, and the electronic device:A system for receiving the updated implementation information from the metaverse server and changing the metaverse screen being output through the display based on the updated implementation information.</t>
  </si>
  <si>
    <t>In a system that provides simulation results performed in a metaverse environment, the system includes an electronic device, a metaverse server that provides a metaverse environment to the electronic device, and implementation information for implementing the metaverse environment in the metaverse server. It includes a database server that provides, and an external device that provides observation information on the real world to the metaverse server or the database server, wherein the external device uses a lidar shooting method to view the real world. A device for obtaining the observation information by performing observation for the electronic device, the electronic device:Establishing a wireless communication channel with the metaverse server through the communication circuit of the electronic device, receiving implementation information for implementing the metaverse environment from the metaverse server through the communication circuit, and implementing the metaverse environment Based on the implementation information, to output the metaverse screen through the display of the electronic device, and to check the result information satisfying the standard condition set by the user while outputting the metaverse screen, in the metaverse server Obtaining a user input for performing simulation, and in response to obtaining the user input, transmitting a command for performing the simulation to the metaverse server, the command including information on the reference condition, The metaverse server:In response to receiving the command from the electronic device, using artificial intelligence for the implementation information and the observation information, simulation is performed to determine result information that satisfies the reference condition, and based on the simulation result,, Transmitting result information satisfying the reference condition to the electronic device, receiving the observation information obtained by the external device observing the real world using the lidar imaging method from the external device, Receives, from a database server, the implementation information for implementing the metaverse environment, compares the observation information and the implementation information, determines a difference value of the comparison result data based on the comparison result, and determines the difference If the value is greater than or equal to the reference value, the implementation information is updated, and the updated implementation information is transmitted to the electronic device, and the electronic device:A system for receiving the updated implementation information from the metaverse server and changing the metaverse screen being output through the display based on the updated implementation information.
The method according to claim 1, wherein the artificial intelligence includes machine learning, deep learning, and artificial neural networks (ANNs), and the artificial neural networks are DNF (deep feedforward network), RNN (recurrent neural network), and LSTM (long Short-Term Memory), system.
The system according to claim 1, wherein the metaverse server updates the implementation information based on observation information received from the external device.
delete
The method of claim 3, wherein the metaverse server:A system that identifies the number of times the observation information is received from the external device, and updates the implementation information when the number is greater than or equal to a reference number.
The method of claim 3, wherein the metaverse server:Obtaining time information corresponding to a time point at which observation information is received from the external device, and based on the time information, updating the implementation information when a reference time or more exceeds from the time point.
The method according to claim 1, wherein the metaverse server:As a result of performing the simulation, if result information that satisfies the reference condition does not exist, the reference condition is automatically changed within a set range, and simulation is performed to confirm result information satisfying the changed reference condition., system.
The method according to claim 1, wherein the database server: receives the observation information from the external device, and based on the observation information, updates implementation information stored in the database server, and updates the updated implementation information to the meta The system that transmits to the bus server.
delete
The method according to claim 1, wherein the implementation information for implementing the metaverse environment is map information, building information, topographical information, weather information, ground characteristic information, traffic on a real environment corresponding to a city, tourist destination, event venue, or performance hall in the real world. A system comprising at least one of signal information, traffic information, or tourist information.</t>
  </si>
  <si>
    <t>G06Q05010000</t>
  </si>
  <si>
    <t>G06Q05010000 | G06F00301000 | G06F00314000 | G06N00302000 | G06N02000000 | G06Q05008000 | G06T01900000</t>
  </si>
  <si>
    <t>KR102477783B1</t>
  </si>
  <si>
    <t>KR102477783 B1</t>
  </si>
  <si>
    <t>I-000233564974</t>
  </si>
  <si>
    <t>20 years from 2022-06-02 (file date)</t>
  </si>
  <si>
    <t>https://patentscout.innography.com/share/YQ8suw4HKMDBbVnxZ1Dmww%3D%3D</t>
  </si>
  <si>
    <t>2022-12-07-DECISION TO GRANT OR REGISTRATION OF PATENT RIGHT|2022-12-12-WRITTEN DECISION TO GRANT</t>
  </si>
  <si>
    <t>https://patentscout.innography.com/share/YQ8suw4HKMDBbVnxZ1Dmww%3D%3D/download</t>
  </si>
  <si>
    <t>https://v3.espacenet.com/publicationDetails/biblio?CC=KR&amp;NR=102477783B1&amp;KC=B1&amp;FT=D&amp;date=20221215&amp;DB=EPODOC&amp;locale=</t>
  </si>
  <si>
    <t>KR20102477783 B1</t>
  </si>
  <si>
    <t>1.  In a system that provides simulation results performed in a metaverse environment, the system includes an electronic device, a metaverse server that provides a metaverse environment to the electronic device, and implementation information for implementing the metaverse environment in the metaverse server. It includes a database server that provides, and an external device that provides observation information on the real world to the metaverse server or the database server, wherein the external device uses a lidar shooting method to view the real world. A device for obtaining the observation information by performing observation for the electronic device, the electronic device:Establishing a wireless communication channel with the metaverse server through the communication circuit of the electronic device, receiving implementation information for implementing the metaverse environment from the metaverse server through the communication circuit, and implementing the metaverse environment Based on the implementation information, to output the metaverse screen through the display of the electronic device, and to check the result information satisfying the standard condition set by the user while outputting the metaverse screen, in the metaverse server Obtaining a user input for performing simulation, and in response to obtaining the user input, transmitting a command for performing the simulation to the metaverse server, the command including information on the reference condition, The metaverse server:In response to receiving the command from the electronic device, using artificial intelligence for the implementation information and the observation information, simulation is performed to determine result information that satisfies the reference condition, and based on the simulation result,, Transmitting result information satisfying the reference condition to the electronic device, receiving the observation information obtained by the external device observing the real world using the lidar imaging method from the external device, Receives, from a database server, the implementation information for implementing the metaverse environment, compares the observation information and the implementation information, determines a difference value of the comparison result data based on the comparison result, and determines the difference If the value is greater than or equal to the reference value, the implementation information is updated, and the updated implementation information is transmitted to the electronic device, and the electronic device:A system for receiving the updated implementation information from the metaverse server and changing the metaverse screen being output through the display based on the updated implementation information.</t>
  </si>
  <si>
    <t>4.  delete</t>
  </si>
  <si>
    <t>9.  delete</t>
  </si>
  <si>
    <t>US6119147 A | US20040039583 A1 | US20070233367 A1</t>
  </si>
  <si>
    <t>US9705691 B2 | US20170048173 A1 | US9881042 B2 | US9888361 B2 | US10091454 B2 | US11088976 B2 | US8887067 B2 | US9171286 B2 | US20150026603 A1 | US9326099 B2 | US8671373 B1 | US20130014011 A1 | US20090300520 A1 | US20100083139 A1 | US20110161816 A1 | US8165991 B2</t>
  </si>
  <si>
    <t>2009-07-09</t>
  </si>
  <si>
    <t>2015-10-20</t>
  </si>
  <si>
    <t>2008-01-09</t>
  </si>
  <si>
    <t>A metaverse system and method for allowing a user to attend a recorded past event in a metaverse application. The metaverse system includes a client computer a metaverse server and a time travel engine. The client computer interfaces with the metaverse application. The metaverse server records an event environment of a past event in a metaverse application. The time travel engine serves in response to a request from a user a playback of the recorded event environment to the client computer to allow the user to attend and to observe the recorded event environment.</t>
  </si>
  <si>
    <t>System and method for attending a recorded event in a metaverse application</t>
  </si>
  <si>
    <t>recorded event|virtual object|client computer</t>
  </si>
  <si>
    <t>International Business Machines Corporation</t>
  </si>
  <si>
    <t>International Business Machines Corp.</t>
  </si>
  <si>
    <t>Jones Angela Richards; Li Fuyi; Lyle Ruthie D; Mallempati Vandana; Nesbitt Pamela A</t>
  </si>
  <si>
    <t>US11/971666</t>
  </si>
  <si>
    <t>DARRIN HOPE</t>
  </si>
  <si>
    <t>2173: Graphical User Interface and Document Processing</t>
  </si>
  <si>
    <t xml:space="preserve">A computer program product comprising a computer useable storage medium to store a computer readable program that, when executed on a computer, causes the computer to perform operations comprising:
record an event environment of a metaverse application, wherein the recorded event environment comprises a virtual object in a context of a multidimensional virtual scene;
receive a request from a user for playback of the recorded event environment; and
display the playback of the recorded event environment to allow the user to observe the recorded event environment.
</t>
  </si>
  <si>
    <t>1. A computer program product comprising a computer useable storage medium to store a computer readable program that, when executed on a computer, causes the computer to perform operations comprising:
record an event environment of a metaverse application, wherein the recorded event environment comprises a virtual object in a context of a multidimensional virtual scene;
receive a request from a user for playback of the recorded event environment; and
display the playback of the recorded event environment to allow the user to observe the recorded event environment.
2. The computer program product of claim 1, wherein the computer readable program, when executed on the computer, causes the computer to perform operations to track metadata of the virtual object in the recorded event environment.
3. The computer program product of claim 2, wherein the computer readable program, when executed on the computer, causes the computer to perform operations to communicate the metadata of the virtual object to the user during the playback of the recorded event environment.
4. The computer program product of claim 2, wherein the computer readable program, when executed on the computer, causes the computer to perform operations to update a status of the metadata of the virtual object associated with the recorded event environment.
5. The computer program product of claim 1, wherein the computer readable program, when executed on the computer, causes the computer to perform operations to control at least one of a plurality of playback functions of the recorded event environment, wherein the plurality of playback functions comprises a play function, a rewind function, a fast forward function, a stop function, a pause function, a bookmark function, a skip to function, and an exit function.
6. The computer program product of claim 1, wherein the computer readable program, when executed on the computer, causes the computer to perform operations to facilitate an interaction between at least two observers of the playback of the recorded event environment, wherein the interaction occurs during the playback of the recorded event environment.
7. A system comprising:
a client computer coupled to a network;
a metaverse server coupled to the client computer, the metaverse server to record an event environment of a metaverse application, the recorded event environment comprising a virtual object in a context of a multidimensional virtual scene, wherein the recorded event environment is stored on a storage device; and
a time travel engine coupled to the metaverse server, the time travel engine to serve, in response to a request from a user, a playback of the recorded event environment to the client computer to allow the user to attend and to observe the recorded event environment.
8. The system of claim 7, wherein the time travel engine comprises a time travel controller, the time travel controller to control at least one of a plurality of playback functions of the recorded event environment, wherein the plurality of playback functions comprises a play function, a rewind function, a fast forward function, a stop function, a pause function, a bookmark function, a skip to function, and an exit function.
9. The system of claim 7, wherein the time travel engine comprises a time travel object tracker, the time travel object tracker to track metadata of the virtual object in the recorded event environment.
10. The system of claim 9, the time travel object tracker is further configured to communicate the metadata of the virtual object to the user during the playback of the recorded event environment.
11. The system of claim 9, the time travel object tracker is further configured to update a status of the metadata of the virtual object associated with the recorded event environment.
12. The system of claim 7, the time travel engine is further configured to facilitate an interaction between at least two observers of the playback of the recorded event environment, wherein the interaction occurs during the playback of the recorded event environment.
13. A method comprising:
recording an event environment of a metaverse application, wherein the recorded event environment comprises a virtual object in a context of a multidimensional virtual scene;
receiving a request from a user for playback of the recorded event environment; and
displaying the playback of the recorded event environment to allow the user to attend and to observe the recorded event environment.
14. The method of claim 13, further comprising:
tracking metadata of the virtual object in the recorded event environment;
communicating the metadata of the virtual object to the user during the playback of the recorded event environment; and
updating a status of the metadata of the virtual object associated with the recorded event environment.
15. The method of claim 13, wherein the method further comprises controlling at least one of a plurality of playback functions of the recorded event environment, wherein the plurality of playback functions comprises a play function, a rewind function, a fast forward function, a stop function, a pause function, a bookmark function, a skip to function, and an exit function
16. The method of claim 13, wherein the method further comprises facilitating an interaction between at least two observers of the playback of the recorded event environment, wherein the interaction occurs during the playback of the recorded event environment.
17. A metaverse system comprising:
a client computer coupled to a network, the client computer to send a request to open a recorded event environment of a metaverse application;
a time travel engine coupled to the network, the time travel engine to serve the recorded event environment to the client computer in response to the request to open the recorded event environment; and
a display device coupled to the client computer, the display device to display the recorded event environment within a metaverse client viewer, wherein an avatar of a user of the client computer is appended within the playback of the recorded event environment.
18. The metaverse system of claim 17, wherein the time travel engine is further configured to allow the user to observe metadata of a virtual object in the recorded event environment.
19. The metaverse system of claim 17, wherein the time travel engine is further configured to facilitate an interaction between the avatar of the user and another avatar of another user, wherein the other avatar of the other user is also appended within the playback of the recorded event environment.
20. The metaverse system of claim 17, further comprising a time travel interface coupled to the client computer, the time travel interface to allow a user to control at least one of a plurality of playback functions of the recorded event environment, wherein the plurality of playback functions comprises a play function, a rewind function, a fast forward function, and a stop function.</t>
  </si>
  <si>
    <t>Jones, Angela Richards|Li, Fuyi|Lyle, Ruthie D|Mallempati, Vandana|Nesbitt, Pamela A</t>
  </si>
  <si>
    <t>US9165426 B2</t>
  </si>
  <si>
    <t>G07F0017323200</t>
  </si>
  <si>
    <t>G07F0017323200 | G06N0003006000 | G07F0017320000 | G07F0017323400</t>
  </si>
  <si>
    <t>US20090177969A1|US9165426B2</t>
  </si>
  <si>
    <t>US20090177969 A1 | US9165426 B2</t>
  </si>
  <si>
    <t>I-000075188425</t>
  </si>
  <si>
    <t>Application expired due to grant (US9165426 B2)</t>
  </si>
  <si>
    <t>https://patentscout.innography.com/share/0_DFMySzkuhYpMJ4G2PsDw%3D%3D</t>
  </si>
  <si>
    <t>2008-01-02-ASSIGNMENT (INTERNATIONAL BUSINESS MACHINES CORPORATION)|2015-09-30-INFORMATION ON STATUS: PATENT GRANT|2019-06-10-FEE PAYMENT PROCEDURE|2019-11-25-LAPSE FOR FAILURE TO PAY MAINTENANCE FEES|2019-11-25-INFORMATION ON STATUS: PATENT DISCONTINUATION|2019-12-17-EXPIRED DUE TO FAILURE TO PAY MAINTENANCE FEE</t>
  </si>
  <si>
    <t>https://patentscout.innography.com/share/0_DFMySzkuhYpMJ4G2PsDw%3D%3D/download</t>
  </si>
  <si>
    <t>https://ppubs.uspto.gov/pubwebapp/external.html?q=20090177969.pn.</t>
  </si>
  <si>
    <t>US20090177969 A1</t>
  </si>
  <si>
    <t>102 | US10/243755 | CTFR
102 | US10/243755 | CTNF</t>
  </si>
  <si>
    <t>Toshiba Corporation
Toshiba Corporation</t>
  </si>
  <si>
    <t>2011-08-17</t>
  </si>
  <si>
    <t>2011-02-16</t>
  </si>
  <si>
    <t>Jeffrey T. Holman</t>
  </si>
  <si>
    <t>1. A computer program product comprising a computer useable storage medium to store a computer readable program that, when executed on a computer, causes the computer to perform operations comprising:
record an event environment of a metaverse application, wherein the recorded event environment comprises a virtual object in a context of a multidimensional virtual scene;
receive a request from a user for playback of the recorded event environment; and
display the playback of the recorded event environment to allow the user to observe the recorded event environment.</t>
  </si>
  <si>
    <t>7. A system comprising:
a client computer coupled to a network;
a metaverse server coupled to the client computer, the metaverse server to record an event environment of a metaverse application, the recorded event environment comprising a virtual object in a context of a multidimensional virtual scene, wherein the recorded event environment is stored on a storage device; and
a time travel engine coupled to the metaverse server, the time travel engine to serve, in response to a request from a user, a playback of the recorded event environment to the client computer to allow the user to attend and to observe the recorded event environment.</t>
  </si>
  <si>
    <t>13. A method comprising:
recording an event environment of a metaverse application, wherein the recorded event environment comprises a virtual object in a context of a multidimensional virtual scene;
receiving a request from a user for playback of the recorded event environment; and
displaying the playback of the recorded event environment to allow the user to attend and to observe the recorded event environment.</t>
  </si>
  <si>
    <t>17. A metaverse system comprising:
a client computer coupled to a network, the client computer to send a request to open a recorded event environment of a metaverse application;
a time travel engine coupled to the network, the time travel engine to serve the recorded event environment to the client computer in response to the request to open the recorded event environment; and
a display device coupled to the client computer, the display device to display the recorded event environment within a metaverse client viewer, wherein an avatar of a user of the client computer is appended within the playback of the recorded event environment.</t>
  </si>
  <si>
    <t>2019-11-25</t>
  </si>
  <si>
    <t xml:space="preserve">A computer program product comprising a non-transitory computer useable storage medium to store a computer readable program that, when executed on a computer, causes the computer to perform operations comprising:
record an event environment of a metaverse application, wherein the recorded event environment comprises a virtual object in a context of a multidimensional virtual scene;
receive a request from a user for playback of the recorded event environment;
display the playback of the recorded event environment to allow the user to observe the recorded event environment; and
facilitate an interaction between at least two avatars within the recorded environment, wherein the interaction occurs during the playback of the recorded event environment.
</t>
  </si>
  <si>
    <t>1. A computer program product comprising a non-transitory computer useable storage medium to store a computer readable program that, when executed on a computer, causes the computer to perform operations comprising:
record an event environment of a metaverse application, wherein the recorded event environment comprises a virtual object in a context of a multidimensional virtual scene;
receive a request from a user for playback of the recorded event environment;
display the playback of the recorded event environment to allow the user to observe the recorded event environment; and
facilitate an interaction between at least two avatars within the recorded environment, wherein the interaction occurs during the playback of the recorded event environment.
2. The computer program product of claim 1, wherein the computer readable program, when executed on the computer, causes the computer to perform operations to track metadata of the virtual object in the recorded event environment.
3. The computer program product of claim 2, wherein the computer readable program, when executed on the computer, causes the computer to perform operations to communicate the metadata of the virtual object to the user during the playback of the recorded event environment.
4. The computer program product of claim 2, wherein the computer readable program, when executed on the computer, causes the computer to perform operations to update a status of the metadata of the virtual object associated with the recorded event environment.
5. The computer program product of claim 1, wherein the computer readable program, when executed on the computer, causes the computer to perform operations to control at least one of a plurality of playback functions of the recorded event environment, wherein the plurality of playback functions comprises a play function, a rewind function, a fast forward function, a stop function, a pause function, a bookmark function, a skip to function, and an exit function.
6. A system comprising:
a client computer coupled to a network;
a metaverse server coupled to the client computer, the metaverse server to record an event environment of a metaverse application, the recorded event environment comprising a virtual object in a context of a multidimensional virtual scene, wherein the recorded event environment is stored on a storage device; and
a time travel engine coupled to the metaverse server, the time travel engine to serve, in response to a request from a user, a playback of the recorded event environment to the client computer to allow the user to attend and to observe the recorded event environment, wherein the time travel engine is configured to facilitate an interaction between at least two avatars within the recorded environment, wherein the interaction between at least two avatars occurs during the playback of the recorded event environment.
7. The system of claim 6, wherein the time travel engine comprises a time travel controller, the time travel controller to control at least one of a plurality of playback functions of the recorded event environment, wherein the plurality of playback functions comprises a play function, a rewind function, a fast forward function, a stop function, a pause function, a bookmark function, a skip to function, and an exit function.
8. The system of claim 6, wherein the time travel engine comprises a time travel object tracker, the time travel object tracker to track metadata of the virtual object in the recorded event environment.
9. The system of claim 8, the time travel object tracker is further configured to communicate the metadata of the virtual object to the user during the playback of the recorded event environment.
10. The system of claim 8, the time travel object tracker is further configured to update a status of the metadata of the virtual object associated with the recorded event environment.
11. A method comprising:
recording an event environment of a metaverse application on a hardware device, wherein the recorded event environment comprises a virtual object in a context of a multidimensional virtual scene;
receiving a request from a user for playback of the recorded event environment;
displaying the playback of the recorded event environment to allow the user to attend and to observe the recorded event environment; and
facilitating an interaction between at least two avatars within the recorded environment, wherein the interaction of the at least two avatars occurs during the playback of the recorded event environment.
12. The method of claim 11, further comprising:
tracking metadata of the virtual object in the recorded event environment;
communicating the metadata of the virtual object to the user during the playback of the recorded event environment; and
updating a status of the metadata of the virtual object associated with the recorded event environment.
13. The method of claim 11, wherein the method further comprises controlling at least one of a plurality of playback functions of the recorded event environment, wherein the plurality of playback functions comprises a play function, a rewind function, a fast forward function, a stop function, a pause function, a bookmark function, a skip to function, and an exit function.
14. A metaverse system comprising:
a client computer coupled to a network, the client computer to send a request to open a recorded event environment of a metaverse application;
a time travel engine coupled to the network, the time travel engine to serve the recorded event environment to the client computer in response to the request to open the recorded event environment, wherein the time travel engine is configured to facilitate an interaction between the avatar of the user and the avatar of another user, wherein the other avatar of the other user is also appended within the playback of the recorded event environment; and
a display device coupled to the client computer, the display device to display the recorded event environment within a metaverse client viewer, wherein an avatar of a user of the client computer is appended within the playback of the recorded event environment.
15. The metaverse system of claim 14, wherein the time travel engine is further configured to allow the user to observe metadata of a virtual object in the recorded event environment.
16. The metaverse system of claim 14, further comprising a time travel interface coupled to the client computer, the time travel interface to allow a user to control at least one of a plurality of playback functions of the recorded event environment, wherein the plurality of playback functions comprises a play function, a rewind function, a fast forward function, and a stop function.</t>
  </si>
  <si>
    <t>G06F00304800 | G06N00300000 | G07F01732000</t>
  </si>
  <si>
    <t>30th-40th Percentile</t>
  </si>
  <si>
    <t>$25449</t>
  </si>
  <si>
    <t>https://patentscout.innography.com/share/5aIt55uLGsgI27T0AconFw%3D%3D</t>
  </si>
  <si>
    <t>https://patentscout.innography.com/share/5aIt55uLGsgI27T0AconFw%3D%3D/download</t>
  </si>
  <si>
    <t>https://ppubs.uspto.gov/pubwebapp/external.html?q=9165426.pn.</t>
  </si>
  <si>
    <t>1. A computer program product comprising a non-transitory computer useable storage medium to store a computer readable program that, when executed on a computer, causes the computer to perform operations comprising:
record an event environment of a metaverse application, wherein the recorded event environment comprises a virtual object in a context of a multidimensional virtual scene;
receive a request from a user for playback of the recorded event environment;
display the playback of the recorded event environment to allow the user to observe the recorded event environment; and
facilitate an interaction between at least two avatars within the recorded environment, wherein the interaction occurs during the playback of the recorded event environment.</t>
  </si>
  <si>
    <t>6. A system comprising:
a client computer coupled to a network;
a metaverse server coupled to the client computer, the metaverse server to record an event environment of a metaverse application, the recorded event environment comprising a virtual object in a context of a multidimensional virtual scene, wherein the recorded event environment is stored on a storage device; and
a time travel engine coupled to the metaverse server, the time travel engine to serve, in response to a request from a user, a playback of the recorded event environment to the client computer to allow the user to attend and to observe the recorded event environment, wherein the time travel engine is configured to facilitate an interaction between at least two avatars within the recorded environment, wherein the interaction between at least two avatars occurs during the playback of the recorded event environment.</t>
  </si>
  <si>
    <t>11. A method comprising:
recording an event environment of a metaverse application on a hardware device, wherein the recorded event environment comprises a virtual object in a context of a multidimensional virtual scene;
receiving a request from a user for playback of the recorded event environment;
displaying the playback of the recorded event environment to allow the user to attend and to observe the recorded event environment; and
facilitating an interaction between at least two avatars within the recorded environment, wherein the interaction of the at least two avatars occurs during the playback of the recorded event environment.</t>
  </si>
  <si>
    <t>14. A metaverse system comprising:
a client computer coupled to a network, the client computer to send a request to open a recorded event environment of a metaverse application;
a time travel engine coupled to the network, the time travel engine to serve the recorded event environment to the client computer in response to the request to open the recorded event environment, wherein the time travel engine is configured to facilitate an interaction between the avatar of the user and the avatar of another user, wherein the other avatar of the other user is also appended within the playback of the recorded event environment; and
a display device coupled to the client computer, the display device to display the recorded event environment within a metaverse client viewer, wherein an avatar of a user of the client computer is appended within the playback of the recorded event environment.</t>
  </si>
  <si>
    <t>KR101638942 B1 | KR101845549 B1 | KR102040509 B1 | KR102237447 B1 | KR20210101098 A | KR20210151713 A | US20140136996 A1</t>
  </si>
  <si>
    <t>2022-12-07</t>
  </si>
  <si>
    <t>2022-03-18</t>
  </si>
  <si>
    <t>2042-03-18</t>
  </si>
  <si>
    <t>The present invention relates to a multi-omics data-based metaverse online funeral service system. The problem to be solved is to create a digital object that is scientifically and biologically representative of a dead person or companion animal and to create an online charnel house on the metaverse. It is to store genome data and related omics of various living organisms and to commemorate them in various forms through digital expression. For example a multi-omics data management unit that analyzes and stores characteristics of multi-omics data including genome data and digital content data of living organisms; And providing an online funeral service by creating a virtual online charnel house for the living creature on the metaverse after the life&amp;#39;s death and creating an avatar for the living creature in the metaverse environment based on the analysis results of the characteristics of the genome data and the digital content data. A multi-omics data-based metaverse online funeral service system including a metaverse online service provider that generates and provides activity services for the created avatar is disclosed.</t>
  </si>
  <si>
    <t>Metaverse online funeral service system based on multi-omics data</t>
  </si>
  <si>
    <t>KR20220034200A</t>
  </si>
  <si>
    <t>a multi-omics data management unit that analyzes and stores characteristics of multi-omics data including genome data and digital content data of living organisms; And providing an online funeral service by creating a virtual online charnel house for the living creature on the metaverse after the life's death, and creating an avatar for the living creature in the metaverse environment based on the analysis results of the characteristics of the genome data and the digital content data. A metaverse online service providing unit that generates and provides an activity service of the created avatar, wherein the multi-omics data management unit acquires the genome data and the digital content data of a living organism during the life of the living organism, respectively. Mix data acquisition unit;a genomic data analysis unit extracting genetic characteristics of living organisms through a process of decoding and analyzing the genomic data;a digital content data analysis unit that analyzes the external characteristics of a creature based on the digital content data; and generating a unique serial number using the date of birth of the organism, and using the unique serial number, the multi-omics data, the genetic characteristic data analyzed through the genome data analysis unit, and the external appearance analyzed through the digital content data analysis unit. A multi-omics data-based metaverse online funeral service system comprising a multi-omics data storage unit that encrypts enemy characteristic data, matches the encrypted data with the online charnel house, and stores the data in the online charnel house.</t>
  </si>
  <si>
    <t>a multi-omics data management unit that analyzes and stores characteristics of multi-omics data including genome data and digital content data of living organisms; And providing an online funeral service by creating a virtual online charnel house for the living creature on the metaverse after the life's death, and creating an avatar for the living creature in the metaverse environment based on the analysis results of the characteristics of the genome data and the digital content data. A metaverse online service providing unit that generates and provides an activity service of the created avatar, wherein the multi-omics data management unit acquires the genome data and the digital content data of a living organism during the life of the living organism, respectively. Mix data acquisition unit;a genomic data analysis unit extracting genetic characteristics of living organisms through a process of decoding and analyzing the genomic data;a digital content data analysis unit that analyzes the external characteristics of a creature based on the digital content data; and generating a unique serial number using the date of birth of the organism, and using the unique serial number, the multi-omics data, the genetic characteristic data analyzed through the genome data analysis unit, and the external appearance analyzed through the digital content data analysis unit. A multi-omics data-based metaverse online funeral service system comprising a multi-omics data storage unit that encrypts enemy characteristic data, matches the encrypted data with the online charnel house, and stores the data in the online charnel house.
The method of claim 1, wherein the genomic data is direct data on a living organism including genome, transcriptome, epigenome, and clinical information of the living organism, and the digital content data includes at least one of images and voices of the living organism. Digital media data created by filming, trait data including at least one of height, weight, and disease of living organisms, and digital data including information on at least one of objects, people, and places that living organisms like, productions created by living organisms Metaverse online funeral service system based on multi-omics data, characterized in that it includes at least one of the digital data including an image for.
delete
The method of claim 1, wherein the multiomics data-based metaverse online funeral service system issues an NFT for the genetic characteristic data based on blockchain technology to receive an NFT unique key, and the genetic characteristic data Multi-omics data-based metaverse online funeral service system further comprising an NFT digital information generation unit that converts the genome data into an NFT image based on and stores the converted NFT image on a blockchain network..
According to claim 4, wherein the NFT digital information generation unit, RGB Hexa code conversion unit for converting the characteristic value according to the data structure of the genetic feature data into a predefined hexa code that can be expressed in RGB color (Hexa Code);NFT for generating the NFT image by converting the hexadecimal code converted through the RGB hexadecimal code conversion unit into a pixel image or unit block object image composed of RGB colors, and storing the generated NFT image in the multi-omics data storage unit An image conversion unit, wherein the unit block object is a block-type object having a minimum size required to construct one image, and the NFT image conversion unit converts the pixel or the unit block object into the genetic characteristic data Multi-omics data-based metaverse online funeral service system, characterized in that for generating the NFT image by corresponding to a position on a predefined two-dimensional plane according to the characteristic value of.
The method of claim 4, wherein the multi-omics data-based metaverse online funeral service system provides a transaction service with a third party based on electronic money for the multi-omics data and the NFT image under the consent of the family of the living being. Multi-omics data-based metaverse online funeral service system further comprising a data transaction service provider to do.
The method of claim 1, wherein the multi-omics data acquisition unit receives and acquires image data captured from a user communication terminal in real time, obtains information on a recording time of the uploaded image data, and transmits the captured image data to the digital content data analysis unit; The digital content data analysis unit analyzes the external characteristics over time based on the shooting time information for the image data.
The method of claim 1, wherein the metaverse online service providing unit creates a virtual ossuary by uploading the digital content data from the multi-omics data management unit to the metaverse when a living being dies, and provides an online funeral service. Department of Funeral Services;a funeral memorial information sharing unit generating an online access code for accessing the charnel house generated through the online funeral service providing unit, and registering and sharing funeral memorial information including the online access code through a user's SNS account; And based on the genetic characteristic data and the external characteristic data, a virtual avatar embodying a creature is automatically generated, but the external characteristics of the avatar are modified by the user, and the user and the user in the metaverse environment are provided. Avatar activity service requiring interaction is provided, and artificial intelligence conversation service is provided with an avatar using the voice feature data of a living creature included in the external feature data and a pre-built artificial intelligence chatbot, and the avatar activity In the process of performing the service, an avatar activity service provider that collects and accumulates avatar activity data to generate big data, and updates the avatar activity service based on the generated big data to create a new avatar activity service. Metaverse online funeral service system based on multi-omics data.
[Claim 9] The method of claim 8, wherein the online funeral service providing unit provides a real-time chatting service and a comment service between users connected to the charnel house of the metaverse through the online access code. Funeral service system.
9. The method of claim 8, wherein the avatar activity service providing unit includes first avatar activity events according to meal, disease, accident, and emotion of the avatar based on the analysis result of the genome data analysis unit, and a second activity preset according to a metaverse environment. generating avatar activity events respectively, and providing an avatar activity event notification service to a user communication terminal when at least one of the first avatar activity event and the second avatar activity event occurs. Bus online funeral service system.
The method of claim 8, wherein the online funeral service provider stores genome data stored in the online charnel house for a certain period of time, performs genome analysis on the descendants of a deceased organism, and provides a gene report and an omics report, and provides a genetic report and an omics report. The mix report is a metaverse online funeral service system based on multi-omics data, characterized in that it includes disease prediction, physical characteristics, personality and ancestry analysis results.
The method of claim 8, wherein the online funeral service provider receives funeral money through various types of payment methods through at least one payment method of credit card, cash, electronic money, and cryptocurrency on metaverse or online and delivers it to the bereaved family Multi-omics data-based metaverse online funeral service system, characterized in that.
The method of claim 8, wherein the online funeral service provider performs a virtual ancestral rite and memorial service in a state where the bereaved family gathers in accordance with the death date of the living being in the metaverse or online, a metaverse online funeral based on multi-omics data, characterized in that service system.
The method of claim 8, wherein the online funeral service provider, when a living body dies from a disease, checks whether or not a specific insurance is insured before death, and decodes the genomic data for the living body when a specific insurance is insured. Multi-omics data-based metaverse online funeral service system characterized by storing the genome data on the metaverse or online and providing the corresponding insurance service.</t>
  </si>
  <si>
    <t>G06Q05010000 | G06F02160000 | G06Q02006000 | G06Q05030000 | G06T00300000 | G06T01340000 | G06T01900000 | G16B05000000</t>
  </si>
  <si>
    <t>KR102474653B1</t>
  </si>
  <si>
    <t>KR102474653 B1</t>
  </si>
  <si>
    <t>I-000233564388</t>
  </si>
  <si>
    <t>20 years from 2022-03-18 (file date)</t>
  </si>
  <si>
    <t>https://patentscout.innography.com/share/Kzfs9Ki27mw3q3PhBGJz2w%3D%3D</t>
  </si>
  <si>
    <t>2022-12-01-WRITTEN DECISION TO GRANT</t>
  </si>
  <si>
    <t>https://patentscout.innography.com/share/Kzfs9Ki27mw3q3PhBGJz2w%3D%3D/download</t>
  </si>
  <si>
    <t>https://v3.espacenet.com/publicationDetails/biblio?CC=KR&amp;NR=102474653B1&amp;KC=B1&amp;FT=D&amp;date=20221207&amp;DB=EPODOC&amp;locale=</t>
  </si>
  <si>
    <t>KR20102474653 B1</t>
  </si>
  <si>
    <t>1.  a multi-omics data management unit that analyzes and stores characteristics of multi-omics data including genome data and digital content data of living organisms; And providing an online funeral service by creating a virtual online charnel house for the living creature on the metaverse after the life's death, and creating an avatar for the living creature in the metaverse environment based on the analysis results of the characteristics of the genome data and the digital content data. A metaverse online service providing unit that generates and provides an activity service of the created avatar, wherein the multi-omics data management unit acquires the genome data and the digital content data of a living organism during the life of the living organism, respectively. Mix data acquisition unit;a genomic data analysis unit extracting genetic characteristics of living organisms through a process of decoding and analyzing the genomic data;a digital content data analysis unit that analyzes the external characteristics of a creature based on the digital content data; and generating a unique serial number using the date of birth of the organism, and using the unique serial number, the multi-omics data, the genetic characteristic data analyzed through the genome data analysis unit, and the external appearance analyzed through the digital content data analysis unit. A multi-omics data-based metaverse online funeral service system comprising a multi-omics data storage unit that encrypts enemy characteristic data, matches the encrypted data with the online charnel house, and stores the data in the online charnel house.</t>
  </si>
  <si>
    <t>3.  delete</t>
  </si>
  <si>
    <t>US20060143435 A1 | US20070101276 A1 | US20090049392 A1 | US20090076894 A1 | US20090089364 A1 | US20090235191 A1 | US20100259546 A1</t>
  </si>
  <si>
    <t>US9626799 B2 | US9723226 B2 | US10068383 B2 | US10462383 B2 | US10769852 B2 | US10893219 B2 | US10977864 B2 | US11367259 B2 | US11381758 B2 | US20120198359 A1 | US20120212405 A1 | US8907983 B2 | US8953022 B2 | US9017163 B2 | US9041743 B2 | US9070219 B2 | US9118970 B2 | US9223408 B2 | EP2960786 A2 | US9271025 B2</t>
  </si>
  <si>
    <t>2010-09-09</t>
  </si>
  <si>
    <t>2009-03-09</t>
  </si>
  <si>
    <t>2010-03-09</t>
  </si>
  <si>
    <t>2012-05-20</t>
  </si>
  <si>
    <t>The invention is a method and system for hosting a metaverse environment within a webpage and navigating within that environment. The metaverse is established by embedding an interface in a web page then creating an avatar when a mouse under control of an environment user moves over the interface. A virtual reality street serving as the central point of the environment and associated with a particular URL is established and placed on the bottom of a webpage. The street is customized with a plurality of facades and the avatar is caused by the user to move up or down the street. The movement of the avatar allows it to interact with the facades or activities that are built into the street. Navigation of the avatar to the end of the street causes the avatar to select from among one or more choices for selecting a next web page.</t>
  </si>
  <si>
    <t>Method and system for hosting a metaverse environment within a webpage</t>
  </si>
  <si>
    <t>avatar|facade|customized</t>
  </si>
  <si>
    <t>Axis Producoes E Comunicacao Ltda.</t>
  </si>
  <si>
    <t>Axis Producoes E Comunicacao Ltda</t>
  </si>
  <si>
    <t>Guimaraes Stella Villares; Filho Dino Vettorello</t>
  </si>
  <si>
    <t>US12/720337</t>
  </si>
  <si>
    <t>LUIS A BROWN</t>
  </si>
  <si>
    <t>3622: Electronic Commerce</t>
  </si>
  <si>
    <t xml:space="preserve">A method of navigation within a metaverse environment comprising the steps of:
(a) embedding an interface in a web page;
(b) creating an avatar when a mouse under control of an environment user moves over said interface;
(c) acquiring a street from said metaverse environment wherein said street is associated with a particular URL;
(d) placing said street on the bottom of a webpage;
(e) customizing said street with a plurality of facades; and
(f) causing said avatar to move up or down said street.
</t>
  </si>
  <si>
    <t>1. A method of navigation within a metaverse environment comprising the steps of:
(a) embedding an interface in a web page;
(b) creating an avatar when a mouse under control of an environment user moves over said interface;
(c) acquiring a street from said metaverse environment wherein said street is associated with a particular URL;
(d) placing said street on the bottom of a webpage;
(e) customizing said street with a plurality of facades; and
(f) causing said avatar to move up or down said street.
2. The method of claim 1, wherein said acquisition of said street is accomplished through a payment of a fee by a hoster to said metaverse environment.
3. The method of claim 1, further comprising the steps of:
(a) causing said avatar to arrive at an end of said street;
(b) displaying one or more choices for selecting a next web page;
(c) having said avatar interface with one of said one or more choices so as to select said one choice; and
(d) moving said avatar from said street to a second street.
4. The method of claim 3, wherein each of said one or more choices is linked to the other by a webring.
5. The method of claim 1, wherein said customizing step further comprises the step of selling media space to an advertiser.
6. The method of claim 1, wherein said metaverse environment provides an internal currency that can be converted within said environment into any currency in the real world.
7. The method of claim 1, wherein said plurality of facades comprises one or more houses.
8. The method of claim 1, wherein said plurality of facades further comprises one or more commercial buildings.
9. The method of claim 1, wherein said plurality of facades comprises one or more street lights.
10. A system for hosting a metaverse environment within a webpage and wherein said system further comprises:
(a) a web-based server having a plurality of web pages accessible therefrom;
(b) a first interface between said plurality of web pages and a user data processing system, said system further comprising a monitor and a mouse;
(c) a second interface embedded in a web page wherein said user can create an avatar when a mouse under control of said user moves over said second interface; and
(d) a virtual reality street, capable of being acquired from said metaverse environment, and wherein said virtual reality street is associated with a particular URL; and, wherein further said virtual reality street is placed on the bottom of a webpage.
11. The system of claim 10, further comprising customization means for customizing said virtual reality street.
12. The system of claim 10, wherein said virtual reality street is capable of being customized with a plurality of facades.
13. The system of claim 10, wherein said customization means further comprises means for utilizing an internal currency that can be converted within said environment into any currency in the real world.
14. The system of claim 12, wherein said plurality of facades comprises one or more houses.
15. The system of claim 12, wherein said plurality of facades further comprises one or more commercial buildings.
16. The system of claim 12, wherein said plurality of facades comprises one or more street lights.
17. The system of claim 10, wherein said web page further comprises:
(a) a browser window viewable by said user;
(b) a first subset of said browser window displaying a listing for a site URL;
(c) a second subset of said browser window displaying site content; and
(d) a third subset of said browser window displaying a virtual world application wherein said virtual world application is embedded in site content.
18. The system of claim 10, wherein each web page of said plurality of web pages is linked via webring.
19. A method of introducing an avatar to a metaverse environment, said method comprising the steps of:
(a) embedding an interface in a web page;
(b) creating an avatar under control of said metaverse environment wherein said metaverse allows a user to activate a customization widget;
(c) activating said customization widget to allow said user to select one or more visual characteristics;
(d) selecting from a list said one or more visual characteristics determinative of a customized avatar;
(e) acquiring a street from said metaverse environment wherein said street is associated with a particular URL;
(f) placing said street on the bottom of a webpage;
(g) customizing said street with a plurality of facades; and
(h) causing said avatar to move up or down said street.
20. A method of loading a metaverse environment within a networked data processing system, said method comprising the steps of:
(a) utilizing HTTP GET protocol to select a site from a browser;
(b) returning from said site to said browser a set of selected content;
(c) utilizing HTTP Get protocol to refer to a site URL so as to access an application server;
(d) transmitting a VWID URL from said application server to a database; and
(e) transmitting from said database the selected VWAPP Content to said browser.</t>
  </si>
  <si>
    <t>Guimaraes, Stella Villares|Filho, Dino Vettorello</t>
  </si>
  <si>
    <t>G06F0003011000 | G06N0003006000 | G06Q0010000000 | G06Q0030000000 | G06Q0030027300</t>
  </si>
  <si>
    <t>G06F00304800 | G06Q01000000 | G06Q03000000</t>
  </si>
  <si>
    <t>705001100|715757000|705014690</t>
  </si>
  <si>
    <t>US20100228633A1</t>
  </si>
  <si>
    <t>US20100228633 A1</t>
  </si>
  <si>
    <t>I-000090652319</t>
  </si>
  <si>
    <t>https://patentscout.innography.com/share/Jrmbf74EvfuDlRM4NTxYTQ%3D%3D</t>
  </si>
  <si>
    <t>2010-04-23-ASSIGNMENT (AXIS PRODUCOES E COMUNICACAO LTDA.)|2012-05-20-INFORMATION ON STATUS: APPLICATION DISCONTINUATION</t>
  </si>
  <si>
    <t>https://patentscout.innography.com/share/Jrmbf74EvfuDlRM4NTxYTQ%3D%3D/download</t>
  </si>
  <si>
    <t>https://ppubs.uspto.gov/pubwebapp/external.html?q=20100228633.pn.</t>
  </si>
  <si>
    <t>Lackenbach Siegel</t>
  </si>
  <si>
    <t>1. A method of navigation within a metaverse environment comprising the steps of:
(a) embedding an interface in a web page;
(b) creating an avatar when a mouse under control of an environment user moves over said interface;
(c) acquiring a street from said metaverse environment wherein said street is associated with a particular URL;
(d) placing said street on the bottom of a webpage;
(e) customizing said street with a plurality of facades; and
(f) causing said avatar to move up or down said street.</t>
  </si>
  <si>
    <t>10. A system for hosting a metaverse environment within a webpage and wherein said system further comprises:
(a) a web-based server having a plurality of web pages accessible therefrom;
(b) a first interface between said plurality of web pages and a user data processing system, said system further comprising a monitor and a mouse;
(c) a second interface embedded in a web page wherein said user can create an avatar when a mouse under control of said user moves over said second interface; and
(d) a virtual reality street, capable of being acquired from said metaverse environment, and wherein said virtual reality street is associated with a particular URL; and, wherein further said virtual reality street is placed on the bottom of a webpage.</t>
  </si>
  <si>
    <t>19. A method of introducing an avatar to a metaverse environment, said method comprising the steps of:
(a) embedding an interface in a web page;
(b) creating an avatar under control of said metaverse environment wherein said metaverse allows a user to activate a customization widget;
(c) activating said customization widget to allow said user to select one or more visual characteristics;
(d) selecting from a list said one or more visual characteristics determinative of a customized avatar;
(e) acquiring a street from said metaverse environment wherein said street is associated with a particular URL;
(f) placing said street on the bottom of a webpage;
(g) customizing said street with a plurality of facades; and
(h) causing said avatar to move up or down said street.</t>
  </si>
  <si>
    <t>20. A method of loading a metaverse environment within a networked data processing system, said method comprising the steps of:
(a) utilizing HTTP GET protocol to select a site from a browser;
(b) returning from said site to said browser a set of selected content;
(c) utilizing HTTP Get protocol to refer to a site URL so as to access an application server;
(d) transmitting a VWID URL from said application server to a database; and
(e) transmitting from said database the selected VWAPP Content to said browser.</t>
  </si>
  <si>
    <t>KR102321484 B1 | KR20190057093 A | KR20210001081 A</t>
  </si>
  <si>
    <t>2022-12-01</t>
  </si>
  <si>
    <t>The present invention is a method performed by a metaverse platform server to which a plurality of user terminals and a company server are connected receiving information about a task and a reward corresponding to the task from the company server; Receiving from at least one user terminal among the plurality of user terminals information about a solution to the problem and knowledge derived from the process of solving the problem; Updating character information corresponding to each of the plurality of users; Transmitting a solution of the problem to the enterprise server; And when the solution to the problem is adopted by the company providing the reward to a user terminal that has provided a solution to the problem among the plurality of user terminals wherein the reward is a blockchain-based coin or token. It includes at least one of the points capable of improving the capabilities and capabilities of the user and that the solution to the problem is derived using problem-based learning through the formation of a guild between the plurality of user terminals. to be characterized</t>
  </si>
  <si>
    <t>Apparatus and method for supporting game based metaverse platform using blockchain and non fungible token</t>
  </si>
  <si>
    <t>KR20220006277A</t>
  </si>
  <si>
    <t>In a method performed by a metaverse platform server to which a plurality of user terminals and a company server are connected, receiving information about a task related to the actual problem of the company and a reward corresponding to the task from the company server step;Receiving, from at least one user terminal among the plurality of user terminals, a solution to the problem and information derived from a process of solving the problem;Updating character information corresponding to each of the plurality of users;Transmitting a solution of the problem to the enterprise server; And if the solution to the problem is adopted by the company, providing the reward to a user terminal that has provided a solution to the problem among the plurality of user terminals, wherein the reward is a blockchain-based coin or token., Includes at least one of the points capable of improving the capabilities and capabilities of the user, and the solution to the task is derived using problem-based learning through the formation of a guild between the plurality of user terminals, Each of the plurality of users is a job seeker seeking employment through the metaverse platform, the company is a job seeker seeking employment through the metaverse platform, and each of the plurality of users has their own capabilities within the metaverse platform. And create a character reflecting the ability value, and improve its capability and ability value through solving the task, and the company is matched with a user with a desired job capability based on the capability and capability value of each of the plurality of users, The competencies include logic, numeracy, situation judgment, interpersonal skills, communication skills, emotional intelligence, leadership, creativity, originality, affinity, and responsibility, and the company, when designing the task, the logic, the numeracy, and the above. It is designed so that weight is given to competencies related to the desired job competencies among the situational judgment, the interpersonal skills, the communication skills, the emotional intelligence, the leadership, the creativity, the originality, the affinity, and the responsibility, and the user, When solving the task, the weighted points are provided as the reward, and the capability related to the desired job capability of the company can be improved, and the user sends the task to the metaverse platform through the user terminal. Share the solution of the task and the progress of solving the task in real time with other users by entering the solution and the progress of solving the task, Learning the information derived from the process of solving the task by the other users shared on the metaverse platform, and the solution of the shared task, the progress of the task solution, and the information derived from the process of solving the task, A method that is implemented as a blockchain and NFT (Non-Fungible Token) and protected as a digital asset.</t>
  </si>
  <si>
    <t>In a method performed by a metaverse platform server to which a plurality of user terminals and a company server are connected, receiving information about a task related to the actual problem of the company and a reward corresponding to the task from the company server step;Receiving, from at least one user terminal among the plurality of user terminals, a solution to the problem and information derived from a process of solving the problem;Updating character information corresponding to each of the plurality of users;Transmitting a solution of the problem to the enterprise server; And if the solution to the problem is adopted by the company, providing the reward to a user terminal that has provided a solution to the problem among the plurality of user terminals, wherein the reward is a blockchain-based coin or token., Includes at least one of the points capable of improving the capabilities and capabilities of the user, and the solution to the task is derived using problem-based learning through the formation of a guild between the plurality of user terminals, Each of the plurality of users is a job seeker seeking employment through the metaverse platform, the company is a job seeker seeking employment through the metaverse platform, and each of the plurality of users has their own capabilities within the metaverse platform. And create a character reflecting the ability value, and improve its capability and ability value through solving the task, and the company is matched with a user with a desired job capability based on the capability and capability value of each of the plurality of users, The competencies include logic, numeracy, situation judgment, interpersonal skills, communication skills, emotional intelligence, leadership, creativity, originality, affinity, and responsibility, and the company, when designing the task, the logic, the numeracy, and the above. It is designed so that weight is given to competencies related to the desired job competencies among the situational judgment, the interpersonal skills, the communication skills, the emotional intelligence, the leadership, the creativity, the originality, the affinity, and the responsibility, and the user, When solving the task, the weighted points are provided as the reward, and the capability related to the desired job capability of the company can be improved, and the user sends the task to the metaverse platform through the user terminal. Share the solution of the task and the progress of solving the task in real time with other users by entering the solution and the progress of solving the task, Learning the information derived from the process of solving the task by the other users shared on the metaverse platform, and the solution of the shared task, the progress of the task solution, and the information derived from the process of solving the task, A method that is implemented as a blockchain and NFT (Non-Fungible Token) and protected as a digital asset.
The method of claim 1, wherein the task is designed as a single task to be solved by a single user or a team task to be solved by a team including team members composed of a plurality of users, and in the case of the single task, multiple tasks are solved within a predefined time. Recognizing as multiple correct answers when the solution of is uploaded; And in the case of the single task, when a plurality of solutions are uploaded within a predefined time, the correct answer having the highest matching rate with the expected correct answer uploaded in advance is determined as the first priority, and the task achievement rate in the metaverse platform server is the highest Further comprising determining the answer of the user terminal as a second priority, but when a plurality of tasks are requested to be completed within a predefined time for the team task, the team task is completed in each part presented by the team members. All solutions are determined based on the time they are uploaded to the metaverse platform server, and the priority of the partial solutions is higher as the time they are uploaded to the metaverse platform server is faster and the higher the proportion in the completion of the team task. judged, how.
The method of claim 2, when it is determined that the task is first solved in the metaverse platform, the first non-fungible token linked with the upload time of the first solution of the task and the unique information of the user terminal that uploaded the first solution issuing; When a user and a company are matched through the metaverse platform, issuing a second non-fungible token based on the unique information of the user terminal of the user and the unique information of the company; And when a task with a predefined difficulty level or higher is solved within the metaverse platform, issuing a third non-fungible token based on the unique information of the user terminal that uploaded the solution to the task and the proposer of the task further comprising, Way.
The method of claim 3, further comprising: storing data related to knowledge derived using the problem-based learning; Classifying data related to the knowledge derived using the problem-based learning into visual data and language data; And further comprising collecting log data among the data based on machine learning, but the data related to the knowledge derived using the problem-based learning is text, voice information received from the user terminal, and within the metaverse platform. Including at least one of an activity log and a web page search record of, and collecting log data among the data based on machine learning, machine learning by preprocessing the visual data through a convolution neural networks (CNN) model and machine learning by pre-processing the language data through a natural language processing (NLP) model.
delete
The method of claim 1, wherein the points capable of improving the ability are obtained by solving the user's quest or sharing knowledge with the user on a knowledge sharing platform, and the knowledge sharing platform is the metaverse platform between knowledge sharers. A method, a platform for sharing knowledge on a server.
The method of claim 6, wherein the guild is formed based on the type of the task or user's intention, and the type of the guild is determined based on a method of solving the task.
The method of claim 7, wherein the reward corresponding to the task distributed to a plurality of user terminals included in the guild is equally distributed or distributed according to the contribution of each of the plurality of users when the task is solved, and the plurality of If a first user terminal included in the user terminal solves the task, generating an item related to the company or person who created the task; and updating the item to be added to a first character corresponding to the first user terminal of the metaverse platform server.
A computer program stored in a computer readable recording medium in order to perform the method of any one of claims 1 to 4, 6, 7 and 8 by being combined with a computer that is hardware.
In the metaverse platform server to which a plurality of users' terminals and corporate servers are connected, a transceiver; and a processor controlling the transceiver, wherein the processor receives information about a task related to an actual problem of the company and a reward corresponding to the task from the company server through the transceiver, and transmits and receives information on the reward corresponding to the task. Receiving a solution to the problem and information derived from a process of solving the problem, from at least one user terminal among the plurality of user terminals, updating character information corresponding to each of the plurality of users, and transmits a solution to the enterprise server, and when the solution of the problem is adopted by the enterprise, configured to provide the reward to a user terminal that has provided a solution to the problem among the plurality of user terminals, the reward comprising: It includes at least one of a blockchain-based coin or token and a point capable of improving the user's capabilities and capabilities, and the solution to the problem is, It is derived using problem-based learning through the guild configuration between the plurality of user terminals, and each of the plurality of users is a job seeker who wants to find a job through the metaverse platform, and the company, the metaverse It is a job seeker to be employed through the platform, and the processor creates a character reflecting the capabilities and capabilities of each of the plurality of users in the metaverse platform, improves the capabilities and capabilities of the user who has solved the task, and Based on the capabilities and abilities of each user, the company matches users with the job skills desired by the company to the company, and the capabilities include logic, numeracy, situation judgment, interpersonal skills, communication skills, emotional intelligence, leadership, and creativity., creativity, affinity, and responsibility, and the enterprise, when designing the task, the logic, the numeracy, the situational judgment, the human relationship, the communication, the emotional intelligence, the leadership, the creativity, Among the originality, the affinity, and the responsibility, it is designed so that a weight is assigned to a competency related to the desired job ability, and the processor provides the user with the weighted points as the reward when the user solves the task. So that the user improves the competency related to the desired job capability of the company, and the processor, the solution of the task and the progress of the task solution input by the user through the user terminal through the metaverse platform to be shared with other users in real time through, and to allow the other users to share the derived information in the process of solving the task to the metaverse platform so that the user learns the derived information, and the shared The solution of the task, the progress of solving the task, and the information derived from the process of solving the task are implemented as a block chain and NFT (Non-Fungible Token) and protected as digital assets.</t>
  </si>
  <si>
    <t>G06Q0010060000</t>
  </si>
  <si>
    <t>G06Q01006000</t>
  </si>
  <si>
    <t>G06Q01006000 | G06F02164000 | G06N00308000 | G06N02000000 | G06Q02006000 | G06Q05010000</t>
  </si>
  <si>
    <t>KR102473540B1</t>
  </si>
  <si>
    <t>KR102473540 B1</t>
  </si>
  <si>
    <t>I-000233564353</t>
  </si>
  <si>
    <t>https://patentscout.innography.com/share/MrzxCcUcH1qtygnVd7W4ZA%3D%3D</t>
  </si>
  <si>
    <t>2022-10-26-DECISION TO GRANT OR REGISTRATION OF PATENT RIGHT|2022-11-29-WRITTEN DECISION TO GRANT</t>
  </si>
  <si>
    <t>https://patentscout.innography.com/share/MrzxCcUcH1qtygnVd7W4ZA%3D%3D/download</t>
  </si>
  <si>
    <t>https://v3.espacenet.com/publicationDetails/biblio?CC=KR&amp;NR=102473540B1&amp;KC=B1&amp;FT=D&amp;date=20221201&amp;DB=EPODOC&amp;locale=</t>
  </si>
  <si>
    <t>KR20102473540 B1</t>
  </si>
  <si>
    <t>1.  In a method performed by a metaverse platform server to which a plurality of user terminals and a company server are connected, receiving information about a task related to the actual problem of the company and a reward corresponding to the task from the company server step;Receiving, from at least one user terminal among the plurality of user terminals, a solution to the problem and information derived from a process of solving the problem;Updating character information corresponding to each of the plurality of users;Transmitting a solution of the problem to the enterprise server; And if the solution to the problem is adopted by the company, providing the reward to a user terminal that has provided a solution to the problem among the plurality of user terminals, wherein the reward is a blockchain-based coin or token., Includes at least one of the points capable of improving the capabilities and capabilities of the user, and the solution to the task is derived using problem-based learning through the formation of a guild between the plurality of user terminals, Each of the plurality of users is a job seeker seeking employment through the metaverse platform, the company is a job seeker seeking employment through the metaverse platform, and each of the plurality of users has their own capabilities within the metaverse platform. And create a character reflecting the ability value, and improve its capability and ability value through solving the task, and the company is matched with a user with a desired job capability based on the capability and capability value of each of the plurality of users, The competencies include logic, numeracy, situation judgment, interpersonal skills, communication skills, emotional intelligence, leadership, creativity, originality, affinity, and responsibility, and the company, when designing the task, the logic, the numeracy, and the above. It is designed so that weight is given to competencies related to the desired job competencies among the situational judgment, the interpersonal skills, the communication skills, the emotional intelligence, the leadership, the creativity, the originality, the affinity, and the responsibility, and the user, When solving the task, the weighted points are provided as the reward, and the capability related to the desired job capability of the company can be improved, and the user sends the task to the metaverse platform through the user terminal. Share the solution of the task and the progress of solving the task in real time with other users by entering the solution and the progress of solving the task, Learning the information derived from the process of solving the task by the other users shared on the metaverse platform, and the solution of the shared task, the progress of the task solution, and the information derived from the process of solving the task, A method that is implemented as a blockchain and NFT (Non-Fungible Token) and protected as a digital asset.</t>
  </si>
  <si>
    <t>5.  delete</t>
  </si>
  <si>
    <t>10.  In the metaverse platform server to which a plurality of users' terminals and corporate servers are connected, a transceiver; and a processor controlling the transceiver, wherein the processor receives information about a task related to an actual problem of the company and a reward corresponding to the task from the company server through the transceiver, and transmits and receives information on the reward corresponding to the task. Receiving a solution to the problem and information derived from a process of solving the problem, from at least one user terminal among the plurality of user terminals, updating character information corresponding to each of the plurality of users, and transmits a solution to the enterprise server, and when the solution of the problem is adopted by the enterprise, configured to provide the reward to a user terminal that has provided a solution to the problem among the plurality of user terminals, the reward comprising: It includes at least one of a blockchain-based coin or token and a point capable of improving the user's capabilities and capabilities, and the solution to the problem is, It is derived using problem-based learning through the guild configuration between the plurality of user terminals, and each of the plurality of users is a job seeker who wants to find a job through the metaverse platform, and the company, the metaverse It is a job seeker to be employed through the platform, and the processor creates a character reflecting the capabilities and capabilities of each of the plurality of users in the metaverse platform, improves the capabilities and capabilities of the user who has solved the task, and Based on the capabilities and abilities of each user, the company matches users with the job skills desired by the company to the company, and the capabilities include logic, numeracy, situation judgment, interpersonal skills, communication skills, emotional intelligence, leadership, and creativity., creativity, affinity, and responsibility, and the enterprise, when designing the task, the logic, the numeracy, the situational judgment, the human relationship, the communication, the emotional intelligence, the leadership, the creativity, Among the originality, the affinity, and the responsibility, it is designed so that a weight is assigned to a competency related to the desired job ability, and the processor provides the user with the weighted points as the reward when the user solves the task. So that the user improves the competency related to the desired job capability of the company, and the processor, the solution of the task and the progress of the task solution input by the user through the user terminal through the metaverse platform to be shared with other users in real time through, and to allow the other users to share the derived information in the process of solving the task to the metaverse platform so that the user learns the derived information, and the shared The solution of the task, the progress of solving the task, and the information derived from the process of solving the task are implemented as a block chain and NFT (Non-Fungible Token) and protected as digital assets.</t>
  </si>
  <si>
    <t>KR101873681 B1 | KR20190034860 A | KR20190085269 A | KR20190002834 A | KR20200004135 A | KR20200021687 A | KR20200090484 A | KR102442042 B1</t>
  </si>
  <si>
    <t>2013-12-03</t>
  </si>
  <si>
    <t>2012-05-23</t>
  </si>
  <si>
    <t>2032-05-23</t>
  </si>
  <si>
    <t>The present invention relates to a cyber house system using metaverse. The cyber model house according to the present invention includes a user terminal a meta cyber model house server an interior firm terminal and a third party terminal. [Reference numerals] (100) User terminal;(200) Meta cyber model house server;(300) Interior company terminal;(400) Third party terminal;(50) Social network service site;(AA) Internet</t>
  </si>
  <si>
    <t>Cyber model house system using metaverse</t>
  </si>
  <si>
    <t>Industry-academic Cooperation Foundation Daejon Health College</t>
  </si>
  <si>
    <t>Industry-Academic Cooperation Foundation Daejon Health College</t>
  </si>
  <si>
    <t>KR20120055053A</t>
  </si>
  <si>
    <t>In cyber model house system using metaverse,  A user terminal 100 connected to the cyber model house and listening to the image;  It provides cyber model house by using metaverse, the user directly arranges the room and virtual furniture or objects in the user terminal by using the interior props or material information, and makes a quotation by using the interior information. A meta cyber model house server 200 for performing the SNS service 50 by matching the contents performed by the virtual space with the virtual space;  An interior company terminal 300 for providing interior information to the meta cyber model house server;  And a third party terminal (400) for accessing the SNS service and listening to the content processed by the user terminal. 
The method of claim 1,  The meta cyber model house server 200,  3D graphics rendering module 210 for producing an image from a model using a computer program,  Real-time stereoscopic image production module 220 for producing a real-time stereoscopic image,  Interior application module 230 for the user to directly arrange the room and virtual furniture or other objects,  Interior accessory information DB (240) for storing and managing the interior props and material information,  An interior pattern information collecting module 250 for collecting interior pattern information of a user;  A cyber model using a metaverse comprising a lifelogging module 260 for extracting optimal props or material information from the interior accessory information DB by referring to the information collected by the interior pattern information collection module. House system. 
The method of claim 1,  The meta cyber model house server 200,  3D graphics rendering module 210 for producing an image from a model using a computer program,  Real-time stereoscopic image production module 220 for producing a real-time stereoscopic image,  Interior application module 230 for the user to directly arrange the room and virtual furniture or other objects,  Interior accessory information DB (240) for storing and managing the interior props and material information,  An interior pattern information collecting module 250 for collecting interior pattern information of a user;  A lifelogging module 260 for extracting optimal prop or material information from the interior accessory information DB by referring to the information collected by the interior pattern information collection module;  Cyber model house system using a metaverse, characterized in that it comprises a quote writing module for generating an estimate by extracting the interior information directly performed by the interior application module (270). 
The method of claim 1,  The meta cyber model house server 200,  3D graphics rendering module 210 for producing an image from a model using a computer program,  Real-time stereoscopic image production module 220 for producing a real-time stereoscopic image,  Interior application module 230 for the user to directly arrange the room and virtual furniture or other objects,  Interior accessory information DB (240) for storing and managing the interior props and material information,  An interior pattern information collecting module 250 for collecting interior pattern information of a user;  A lifelogging module 260 for extracting optimal prop or material information from the interior accessory information DB by referring to the information collected by the interior pattern information collection module;  A quotation writing module 270 for extracting interior information directly performed by the interior applying module and creating a quotation;  Cyber model using a metaverse comprising a social network processing module 280 for performing an SNS service by matching the contents produced by referring to the interior information applied by the interior application module to a virtual space House system.</t>
  </si>
  <si>
    <t>Lee, Sung Han|Kim, Ki Bong</t>
  </si>
  <si>
    <t>G06Q0050080000</t>
  </si>
  <si>
    <t>G06Q0050080000 | G06Q0050010000 | G06Q0050100000 | G06Q0050300000 | G06T0015000000 | G06T0019006000</t>
  </si>
  <si>
    <t>G06Q05008000</t>
  </si>
  <si>
    <t>G06Q05008000 | G06Q05030000 | G06T01500000</t>
  </si>
  <si>
    <t>60th-70th Percentile</t>
  </si>
  <si>
    <t>KR20130131179A</t>
  </si>
  <si>
    <t>KR20130131179 A</t>
  </si>
  <si>
    <t>I-000121533251</t>
  </si>
  <si>
    <t>20 years from 2012-05-23 (file date)</t>
  </si>
  <si>
    <t>https://patentscout.innography.com/share/dpNIkgfuOf75nY6thFOqQg%3D%3D</t>
  </si>
  <si>
    <t>2012-05-23-REQUEST FOR EXAMINATION|2013-06-27-NOTIFICATION OF REASON FOR REFUSAL|2014-04-29-DECISION TO REFUSE APPLICATION</t>
  </si>
  <si>
    <t>https://patentscout.innography.com/share/dpNIkgfuOf75nY6thFOqQg%3D%3D/download</t>
  </si>
  <si>
    <t>https://v3.espacenet.com/publicationDetails/biblio?CC=KR&amp;NR=20130131179A&amp;KC=A&amp;FT=D&amp;date=20131203&amp;DB=EPODOC&amp;locale=</t>
  </si>
  <si>
    <t>강경찬 | 변창규</t>
  </si>
  <si>
    <t>1. In cyber model house system using metaverse,  A user terminal 100 connected to the cyber model house and listening to the image;  It provides cyber model house by using metaverse, the user directly arranges the room and virtual furniture or objects in the user terminal by using the interior props or material information, and makes a quotation by using the interior information. A meta cyber model house server 200 for performing the SNS service 50 by matching the contents performed by the virtual space with the virtual space;  An interior company terminal 300 for providing interior information to the meta cyber model house server;  And a third party terminal (400) for accessing the SNS service and listening to the content processed by the user terminal.</t>
  </si>
  <si>
    <t>2022-12-29</t>
  </si>
  <si>
    <t>2022-06-23</t>
  </si>
  <si>
    <t>2042-06-23</t>
  </si>
  <si>
    <t>A method for managing participant permissions within a computer-implemented metaverse includes steps for storing unique permissions and object attributes in a blockchain data structure. A method for managing transactions involving virtual real estate in a computer-implemented metaverse includes the steps of permitting a human participant to access the computer-implemented metaverse with a client device identifying a virtual real estate parcel within the computer-implemented metaverse for sale by a seller verifying with the blockchain data structure that the seller is the owner of record of the target virtual real estate parcel transferring funds from the account assigned to the participant to an account assigned to the seller and recording in the blockchain data structure the transfer of the virtual real estate parcel from the account assigned to the seller to the account assigned to the participant.</t>
  </si>
  <si>
    <t>Blockchain-based permissions ledger for metaverse implementation</t>
  </si>
  <si>
    <t>Human Mode, L.l.c.</t>
  </si>
  <si>
    <t>Human Mode, L.L.C.</t>
  </si>
  <si>
    <t>US17/847989</t>
  </si>
  <si>
    <t>DOCKET CENTRAL</t>
  </si>
  <si>
    <t xml:space="preserve">A method for managing participant permissions within a computer-implemented metaverse, the method comprising the step of storing unique permissions in a blockchain data structure.
</t>
  </si>
  <si>
    <t>1. A method for managing participant permissions within a computer-implemented metaverse, the method comprising the step of storing unique permissions in a blockchain data structure.
2. The method of claim 1, wherein the unique permissions comprise licenses that authorize a participant in the metaverse to perform specific tasks within the metaverse.
3. The method of claim 1, wherein the blockchain data structure comprises a plurality of blocks and wherein one or more of the plurality of blocks includes a smart contract.
4. The method of claim 1, further comprising the step of storing virtual property records on the blockchain data structure.
5. The method of claim 4, further comprising the step of storing transaction attributes for the unique permissions and virtual property records on the blockchain data structure.
6. The method of claim 1, further comprising the step of validating the blockchain data structure through multiple nodes within the computer-implemented metaverse.
7. A method for managing the providence of a unique virtual item within a computer-implemented metaverse, the method comprising the steps of:
placing information about attributes for the unique item in a block within a blockchain data structure, wherein the attributes include information about a first user that possesses the unique item in the computer-implemented metaverse;
initiating the transfer of the unique virtual item from the first user to a second user;
verifying with the blockchain data structure that the first user is the owner of record of the unique virtual item; and
transferring the unique virtual item to the second user and recording the transfer within the blockchain data structure.
8. The method of claim 7, wherein the unique virtual item is an object within the computer-implemented metaverse.
9. The method of claim 7, wherein the unique virtual item is a parcel of virtual real estate.
10. The method of claim 7, wherein the blockchain data structure comprises a plurality of blocks and wherein one or more of the plurality of blocks includes a smart contract.
11. The method of claim 7, further comprising the step of validating the blockchain data structure through multiple nodes within the computer-implemented metaverse.
12. A method for managing transactions involving virtual real estate in a computer-implemented metaverse, the method comprising the steps of:
permitting a human participant to access the computer-implemented metaverse with a client device, whereupon accessing the computer-implemented metaverse the participant is granted control of an avatar that is linked to an account assigned to the participant;
identifying a virtual real estate parcel within the computer-implemented metaverse for sale by a seller, wherein attributes about the target virtual real estate parcel are stored within a blockchain data structure that is administered within the computer-implemented metaverse;
verifying with the blockchain data structure that the seller is the owner of record of the target virtual real estate parcel; and
purchasing the target virtual real estate parcel from the seller, wherein the step of
purchasing the target virtual real estate parcel from the seller comprises:
transferring funds from the account assigned to the participant to an account assigned to the seller; and
recording in the blockchain data structure the transfer of the virtual real estate parcel from the account assigned to the seller to the account assigned to the participant.
13. The method of claim 12, further comprising the step of verifying that the seller has an appropriate permission to sell the target virtual real estate parcel, wherein the step of verifying the seller's permission comprises verifying the presence of a virtual realtor license stored within the blockchain data structure.
14. The method of claim 12, further comprising the step of validating the blockchain data structure through multiple nodes within the computer-implemented metaverse.
15. The method of claim 12, wherein the target virtual real estate parcel is included within a virtual plaza that comprises multiple real estate parcels.</t>
  </si>
  <si>
    <t>Kerber, William Xavier</t>
  </si>
  <si>
    <t>G06Q0030060100</t>
  </si>
  <si>
    <t>G06Q0030060100 | G06Q0030018000 | H04L0009500000 | G06Q0050160000</t>
  </si>
  <si>
    <t>G06Q03006000</t>
  </si>
  <si>
    <t>G06Q03006000 | G06Q03000000 | H04L00900000</t>
  </si>
  <si>
    <t>10th-20th Percentile</t>
  </si>
  <si>
    <t>US20220414726 A1</t>
  </si>
  <si>
    <t>I-000233672055</t>
  </si>
  <si>
    <t>20 years from 2022-06-23 (file date)</t>
  </si>
  <si>
    <t>https://patentscout.innography.com/share/eMoXDVpljGXILUBALAXY_Q%3D%3D</t>
  </si>
  <si>
    <t>https://patentscout.innography.com/share/eMoXDVpljGXILUBALAXY_Q%3D%3D/download</t>
  </si>
  <si>
    <t>https://ppubs.uspto.gov/pubwebapp/external.html?q=20220414726.pn.</t>
  </si>
  <si>
    <t>1. A method for managing participant permissions within a computer-implemented metaverse, the method comprising the step of storing unique permissions in a blockchain data structure.</t>
  </si>
  <si>
    <t>7. A method for managing the providence of a unique virtual item within a computer-implemented metaverse, the method comprising the steps of:
placing information about attributes for the unique item in a block within a blockchain data structure, wherein the attributes include information about a first user that possesses the unique item in the computer-implemented metaverse;
initiating the transfer of the unique virtual item from the first user to a second user;
verifying with the blockchain data structure that the first user is the owner of record of the unique virtual item; and
transferring the unique virtual item to the second user and recording the transfer within the blockchain data structure.</t>
  </si>
  <si>
    <t>12. A method for managing transactions involving virtual real estate in a computer-implemented metaverse, the method comprising the steps of:
permitting a human participant to access the computer-implemented metaverse with a client device, whereupon accessing the computer-implemented metaverse the participant is granted control of an avatar that is linked to an account assigned to the participant;
identifying a virtual real estate parcel within the computer-implemented metaverse for sale by a seller, wherein attributes about the target virtual real estate parcel are stored within a blockchain data structure that is administered within the computer-implemented metaverse;
verifying with the blockchain data structure that the seller is the owner of record of the target virtual real estate parcel; and
purchasing the target virtual real estate parcel from the seller, wherein the step of
purchasing the target virtual real estate parcel from the seller comprises:
transferring funds from the account assigned to the participant to an account assigned to the seller; and
recording in the blockchain data structure the transfer of the virtual real estate parcel from the account assigned to the seller to the account assigned to the participant.</t>
  </si>
  <si>
    <t>2022-10-06</t>
  </si>
  <si>
    <t>2022-07-25</t>
  </si>
  <si>
    <t>2032-07-26</t>
  </si>
  <si>
    <t>A brainwave-based metaverse multimedia system comprising:a helmet for capturing brainwaves of a user; the helmet having a brain wave detector for detecting brain waves and a detector transceiver connected to the brain wave detector for transmitting the brain waves from the brain wave detector and comprising:a processing unit connected to the helmet which receives the brain wave signals from the helmet and further processes the signals; these brainwave signals include signals from brainwaves from both the left and right hemispheres of the user&amp;#39;s brain which also include delta waves theta waves high/low alpha waves high/low beta waves and high/low gamma waves;wherein the processing unit comprises:a transceiver at the processing end in communication with the detector transceiver for receiving signals from the brain wave transceiver;a melody converter which communicates with the transceiver at the processing end to convert the user&amp;#39;s brainwave signals into corresponding musical melodies through a specific algorithm;a color converter which is connected to the transceiver at the processing end for converting the user&amp;#39;s brainwave signals into specific colors according to specific algorithms;a scenery database which saves different sceneries selected by the users as a background space for presentation in a metaverse;a scenery player connected to the scenery database for displaying the music and melodies from the melody converter; wherein color messages are output from the color converter and the scenery is output from the scenery database; and wherein the states of the scenes change based on the output from the melody and color converter.</t>
  </si>
  <si>
    <t>Metaverse multimedia system based on brainwaves</t>
  </si>
  <si>
    <t>Lee, Ching; Lee, Ruey Yuan</t>
  </si>
  <si>
    <t>Lee, Ching-jung</t>
  </si>
  <si>
    <t>Lee, Ching-Jung</t>
  </si>
  <si>
    <t>DE202022104213U</t>
  </si>
  <si>
    <t>Brainwave-based Metaverse multimedia system that includes:a helmet for capturing brain waves of a user; the helmet having a brain wave detector for detecting brain waves and a detector transceiver connected to the brain wave detector for transmitting the brain waves from the brain wave detector, and comprising:a processing unit connected to the helmet, which receives the brain wave signals from the helmet and further processes the signals; these brainwave signals include signals from brainwaves from both the left and right hemispheres of the user's brain, which also include delta waves, theta waves, high/low alpha waves, high/low beta waves, and high/low gamma waves;wherein the processing unit comprises:a processing end transceiver in communication with the detector transceiver for receiving signals from the brain wave transceiver;a melody converter communicating with the transceiver at the processing end for converting the user's brain wave signals into corresponding musical melodies through a specific algorithm;a color converter connected to the transceiver at the processing end for converting user brainwave signals into specific colors according to specific algorithms;a scenery database storing various scenery selected by users as background space for presentation in a metaverse;a scenery player connected to the scenery database to display the music and melodies from the melody converter; wherein color messages are output from the color converter and the scenery is output from the scenery database; and wherein the states of the scenes change based on the output from the melody and color converter.</t>
  </si>
  <si>
    <t>Brainwave-based Metaverse multimedia system that includes:a helmet for capturing brain waves of a user; the helmet having a brain wave detector for detecting brain waves and a detector transceiver connected to the brain wave detector for transmitting the brain waves from the brain wave detector, and comprising:a processing unit connected to the helmet, which receives the brain wave signals from the helmet and further processes the signals; these brainwave signals include signals from brainwaves from both the left and right hemispheres of the user's brain, which also include delta waves, theta waves, high/low alpha waves, high/low beta waves, and high/low gamma waves;wherein the processing unit comprises:a processing end transceiver in communication with the detector transceiver for receiving signals from the brain wave transceiver;a melody converter communicating with the transceiver at the processing end for converting the user's brain wave signals into corresponding musical melodies through a specific algorithm;a color converter connected to the transceiver at the processing end for converting user brainwave signals into specific colors according to specific algorithms;a scenery database storing various scenery selected by users as background space for presentation in a metaverse;a scenery player connected to the scenery database to display the music and melodies from the melody converter; wherein color messages are output from the color converter and the scenery is output from the scenery database; and wherein the states of the scenes change based on the output from the melody and color converter.
System according toClaim 1further comprising a role assignment unit coupled to the scenery player for placing a user selected role in the scenery from the scenery player, the scenery player combining the role and the scenery in a metaverse space; where the role appears in the scenery presented to the user in the metaverse.
System according toClaim 2further comprising an emotion converter communicating with the transceiver at the processing end for capturing user's emotions from the brain waves; wherein the emotion converter is in communication with the persona mapping unit for inputting the emotions into the persona from the persona arranging unit.
System according toClaim 1, where the scenery can be a two-dimensional or three-dimensional space.
System according toClaim 2further comprising a visiting unit connected to the scenery player; wherein the visiting unit receives visit messages from visitors; wherein these visit messages can be mapped onto the user's scenery by the scenery player so that both user and visitor persona messages can be displayed on the metaverse space.
System according toClaim 1further comprising an attention and meditation calculator connected to the brain wave detector to calculate the user's level of attention and meditation and then to the processing unit.
System according toClaim 1further comprising a melody converter connected to the transceiver at the processing end to convert the user's brain wave signals into corresponding musical melodies through a specific algorithm mainly based on the variations of delta waves, theta waves, high/low alpha waves, high/low beta waves, and high/low gamma waves, as well as the user's left and right brain levels of attention and meditation.
System according toClaim 7, wherein the melody converter further comprises:a brain wave calculation unit for calculating the brain wave strength difference between two adjacent time points for various brain wave parameters, the brain wave parameter being pre-determined from the level of attention and meditation, as well as the delta waves, theta waves, low alpha waves, high alpha waves, low beta waves, high beta waves, low gamma waves and high gamma waves is selected;an encoding unit coupled to the brain wave computing unit, wherein the variations in the strength differences of the brain waves in different time periods with respect to the brain wave parameters are converted into respective encoding values;a voice range conversion unit connected to the coding unit; based on values of attention and meditation level for each period, by specific conversion rules, the coding values are converted as respective notes, pitches, beats in that period; anda melody unit communicating with the voice range conversion unit for arranging notes of different time periods converted by the voice range conversion unit based on a specific sequence to construct musical melodies in different time periods; then the melodies are output to the music player.
System according toClaim 1wherein the scenery player includes a music player for playing the melody from the melody unit and a frame indicator connected to the color converter for displaying colors from the color converter.
System according toClaim 9wherein the melody converter further comprises a musical instrument selection unit for selecting the musical instrument by the user and using the timbre of the musical instrument to play the melody.
System according toClaim 9, in which the color conversion unit serves to map different sections of brain waves to different colors, with delta wave to white, theta wave to red, low alpha wave to orange, high alpha wave to yellow, deep beta wave is mapped to green, the high beta wave to blue, the deep gamma wave to indigo blue, and the high gamma wave to violet color; wherein when the music player plays music, it transmits the respective colors based on the brain wave sections corresponding to the notes on the display unit.
System according toClaim 9wherein the processing unit further includes a voice volume and color density selection unit in communication with the music player and the frame indicator; wherein amplitudes of the brain waves in different time periods are divided into different sections, which are then assigned different voice volumes and color densities to control the volume and color density of the music player and the image display device.
System according toClaim 2wherein the processing unit further comprises a personality character converter communicating with the transceiver at the processing end for storing personality characters detected from the brain waves of users; wherein, when a user selects a role, the user's personality character is entered into the role placement unit to be included in the selected role, so that the selected role reflects the personality character; wherein the personality character is changeable with the variation of the user's brain waves.
System according toClaim 6wherein the processing unit further comprises an interactive mode converter communicating with the transceiver at the processing end to analyze interactive actions between the users and another visitor based on their brain waves; wherein when a visitor enters the scene, the interactive mode converter receives their brainwaves and then analyzes the interaction modes between the user and the visitor, which are then presented to the user for reference.</t>
  </si>
  <si>
    <t>U1</t>
  </si>
  <si>
    <t>DE</t>
  </si>
  <si>
    <t>A61M0021000000</t>
  </si>
  <si>
    <t>A61M0021000000 | A61B0005240000 | A61B0005307000 | A61M2021002700 | A61M2021004400 | A61M2021005000 | A61M2205350000 | A61M2205505000 | A61M2205520000 | A61M2209088000 | A61M2230100000 | G06F0003011000 | G06F0003015000 | G06F2203011000</t>
  </si>
  <si>
    <t>A61B00530700</t>
  </si>
  <si>
    <t>A61B00530700 | A61B00524000 | A61M02100000</t>
  </si>
  <si>
    <t>DE202022104213U1</t>
  </si>
  <si>
    <t>$19301</t>
  </si>
  <si>
    <t>DE202022104213 U1</t>
  </si>
  <si>
    <t>I-000231730758</t>
  </si>
  <si>
    <t>10 years from 2022-07-26 (the day following the file date)</t>
  </si>
  <si>
    <t>https://patentscout.innography.com/share/0nnoPEIquQcgDA0p536Xew%3D%3D</t>
  </si>
  <si>
    <t>2022-11-17-UTILITY MODEL SPECIFICATION</t>
  </si>
  <si>
    <t>https://patentscout.innography.com/share/0nnoPEIquQcgDA0p536Xew%3D%3D/download</t>
  </si>
  <si>
    <t>https://v3.espacenet.com/publicationDetails/biblio?CC=DE&amp;NR=202022104213U1&amp;KC=U1&amp;FT=D&amp;date=20221006&amp;DB=EPODOC&amp;locale=</t>
  </si>
  <si>
    <t>DE Grants</t>
  </si>
  <si>
    <t>1.  Brainwave-based Metaverse multimedia system that includes:a helmet for capturing brain waves of a user; the helmet having a brain wave detector for detecting brain waves and a detector transceiver connected to the brain wave detector for transmitting the brain waves from the brain wave detector, and comprising:a processing unit connected to the helmet, which receives the brain wave signals from the helmet and further processes the signals; these brainwave signals include signals from brainwaves from both the left and right hemispheres of the user's brain, which also include delta waves, theta waves, high/low alpha waves, high/low beta waves, and high/low gamma waves;wherein the processing unit comprises:a processing end transceiver in communication with the detector transceiver for receiving signals from the brain wave transceiver;a melody converter communicating with the transceiver at the processing end for converting the user's brain wave signals into corresponding musical melodies through a specific algorithm;a color converter connected to the transceiver at the processing end for converting user brainwave signals into specific colors according to specific algorithms;a scenery database storing various scenery selected by users as background space for presentation in a metaverse;a scenery player connected to the scenery database to display the music and melodies from the melody converter; wherein color messages are output from the color converter and the scenery is output from the scenery database; and wherein the states of the scenes change based on the output from the melody and color converter.</t>
  </si>
  <si>
    <t>KR101013484 B1 | KR101023906 B1 | KR102253732 B1 | KR102297620 B1 | KR20210079791 A | KR20210098651 A</t>
  </si>
  <si>
    <t>2022-12-06</t>
  </si>
  <si>
    <t>2022-05-23</t>
  </si>
  <si>
    <t>2042-05-23</t>
  </si>
  <si>
    <t>The present invention is a system and method for providing sex crime monitoring in the metaverse platform obtaining an image and conversation information for an avatar in the metaverse platform and obtaining a first comprehensive sex crime based on a first image of a specific avatar in the image. A score is calculated a second comprehensive score for a sex crime is calculated based on a second image of a specific avatar and one or more other avatars in the image and a third comprehensive score is calculated from the conversation information to obtain the first overall score It relates to a system and method for providing sex crime monitoring in the metaverse platform for deriving sex crime determination information by comparing the second comprehensive score the third comprehensive score and reference values for each. Details of the business supporting this invention are as follows. [Project number] GRRC-Gacheon 2022 (B04) [Ministry name] Gyeonggi-do [Research project name] Gyeonggi-do regional cooperation research center [Research project name] AI-based healthcare device development [Research period] 2021.07.01  2022.06.30.</t>
  </si>
  <si>
    <t>A system and method for provides monitoring of sexual crimes within the metaverse platform</t>
  </si>
  <si>
    <t>KR20220062841A</t>
  </si>
  <si>
    <t>A system that provides monitoring of sexual offenses in the metaverse platform, An image including a first image obtained for a specific avatar in the metaverse platform and a second image obtained in a plurality of directions for the specific avatar and one or more other avatars; and conversation information including conversation contents and conversation time between the specific avatar in the metaverse platform and the one or more other avatars; a metaverse platform for acquiring and transmitting to a sex crime determination module; And a sex crime determination module for transmitting and receiving data with the metaverse platform and deriving sex crime determination information for the specific avatar based on the image and the conversation information received from the metaverse platform; including, the sex crime determination module A first image score calculation unit for calculating a first comprehensive score based on the first image; and a second image score calculation unit configured to calculate a second comprehensive score based on the second image; a dialogue information score calculation unit for calculating a third comprehensive score for sex offenses based on the dialogue information; and a sex crime determining unit for deriving the sex crime determination information based on the first comprehensive score, the second comprehensive score, the third comprehensive score, and predetermined reference values, wherein the plurality of directions include: It includes up, down, front, back, left, and right directions corresponding to respective faces of a virtual hexahedron including a specific avatar and one or more other avatars, and the second image includes a plurality of images obtained in different directions, respectively. an image, and the second image score calculation unit calculates a motion score for an operation corresponding to a sex offense performed by the specific avatar to the one or more other avatars based on the second image received from the metaverse platform a motion score calculation unit;An action duration score calculation unit for calculating an action duration score for a duration of an action corresponding to a sex crime committed by the specific avatar to the one or more other avatars based on the second image received from the metaverse platform;an access time score calculation unit for calculating an access time score for a time when the specific avatar enters a region preset for the one or more other avatars, based on the second image received from the metaverse platform; and a second comprehensive score calculating unit calculating a second comprehensive score obtained by summing the motion score, the motion duration score, and the access time score, wherein the predetermined area is a terminal of a user of one or more other avatars. a first sex crime determination unit determining that the first sex crime is a sex crime and deriving first sex crime determination information when the first comprehensive score is greater than a predetermined first reference value;a second sex crime determination unit determining that the second comprehensive score is greater than a predetermined second reference value and deriving second sex crime determination information;a third sex crime determining unit determining that the third comprehensive score is greater than a preset third reference value and deriving third sex crime determination information;a fourth sex crime judgment unit determining that the first comprehensive score is greater than a preset fourth reference value and the third comprehensive score greater than a fifth reference value and deriving fourth sex crime determination information;A fifth sex crime judgment unit determining that the second comprehensive score is greater than a preset sixth reference value and the third comprehensive score greater than the fifth reference value to derive fifth sex crime determination information, A system that provides sexual offense monitoring.</t>
  </si>
  <si>
    <t>A system that provides monitoring of sexual offenses in the metaverse platform, An image including a first image obtained for a specific avatar in the metaverse platform and a second image obtained in a plurality of directions for the specific avatar and one or more other avatars; and conversation information including conversation contents and conversation time between the specific avatar in the metaverse platform and the one or more other avatars; a metaverse platform for acquiring and transmitting to a sex crime determination module; And a sex crime determination module for transmitting and receiving data with the metaverse platform and deriving sex crime determination information for the specific avatar based on the image and the conversation information received from the metaverse platform; including, the sex crime determination module A first image score calculation unit for calculating a first comprehensive score based on the first image; and a second image score calculation unit configured to calculate a second comprehensive score based on the second image; a dialogue information score calculation unit for calculating a third comprehensive score for sex offenses based on the dialogue information; and a sex crime determining unit for deriving the sex crime determination information based on the first comprehensive score, the second comprehensive score, the third comprehensive score, and predetermined reference values, wherein the plurality of directions include: It includes up, down, front, back, left, and right directions corresponding to respective faces of a virtual hexahedron including a specific avatar and one or more other avatars, and the second image includes a plurality of images obtained in different directions, respectively. an image, and the second image score calculation unit calculates a motion score for an operation corresponding to a sex offense performed by the specific avatar to the one or more other avatars based on the second image received from the metaverse platform a motion score calculation unit;An action duration score calculation unit for calculating an action duration score for a duration of an action corresponding to a sex crime committed by the specific avatar to the one or more other avatars based on the second image received from the metaverse platform;an access time score calculation unit for calculating an access time score for a time when the specific avatar enters a region preset for the one or more other avatars, based on the second image received from the metaverse platform; and a second comprehensive score calculating unit calculating a second comprehensive score obtained by summing the motion score, the motion duration score, and the access time score, wherein the predetermined area is a terminal of a user of one or more other avatars. a first sex crime determination unit determining that the first sex crime is a sex crime and deriving first sex crime determination information when the first comprehensive score is greater than a predetermined first reference value;a second sex crime determination unit determining that the second comprehensive score is greater than a predetermined second reference value and deriving second sex crime determination information;a third sex crime determining unit determining that the third comprehensive score is greater than a preset third reference value and deriving third sex crime determination information;a fourth sex crime judgment unit determining that the first comprehensive score is greater than a preset fourth reference value and the third comprehensive score greater than a fifth reference value and deriving fourth sex crime determination information;A fifth sex crime judgment unit determining that the second comprehensive score is greater than a preset sixth reference value and the third comprehensive score greater than the fifth reference value to derive fifth sex crime determination information, A system that provides sexual offense monitoring.
The system according to claim 1, wherein the image acquires a plurality of numbers according to a predetermined rule according to a time series and includes time information at an acquired time point.
The method according to claim 1, wherein the first image score calculation unit, based on the first image received from the metaverse platform, the appearance score calculation unit for calculating the appearance score for the appearance corresponding to the sex crime of the specific avatar;an appearance duration score calculation unit for calculating an appearance duration score for the duration of an appearance corresponding to the sex offense of the specific avatar, based on the first image received from the metaverse platform; and a first comprehensive score calculation unit calculating a first comprehensive score obtained by summing the appearance score and the appearance duration score.
delete
The method according to claim 1, wherein the conversation information score calculation unit, based on the conversation information received from the metaverse platform, a conversation about the conversation content corresponding to a sex crime among the conversation information between the specific avatar and the one or more other avatars a conversation content score calculating unit that calculates a content score;a conversation time score calculation unit for calculating a conversation time score for the conversation time corresponding to a sex offense among the conversation information between the specific avatar and the one or more other avatars, based on the conversation information received from the metaverse platform;A system for monitoring sexual offenses comprising: a third comprehensive score calculation unit configured to calculate a third comprehensive score obtained by summing the conversation content score and the conversation time score.
delete
The method according to claim 1, wherein the first reference value of the first sex crime determination unit corresponding to the case in which the determination factor is one is greater than the fourth reference value of the fourth sex crime determination unit corresponding to the case in which the determination element is two, and the determination element is one The second reference value of the second sex crime determination unit corresponding to the case of is greater than the sixth reference value of the fifth sex crime determination unit corresponding to the case in which the determination factor is two, and the third sex crime corresponding to the case in which the determination element is one. The system for providing sex crime monitoring, wherein the third reference value of the determination unit is greater than the fifth reference values of the fourth sex crime determination unit and the fifth sex crime determination unit corresponding to the case where there are two determination factors.
delete
delete</t>
  </si>
  <si>
    <t>G06Q0050260000</t>
  </si>
  <si>
    <t>G06Q05026000</t>
  </si>
  <si>
    <t>G06Q05026000 | G06T00720000 | G06T01340000 | G06T01900000</t>
  </si>
  <si>
    <t>KR102475093B1</t>
  </si>
  <si>
    <t>KR102475093 B1</t>
  </si>
  <si>
    <t>I-000233305811</t>
  </si>
  <si>
    <t>20 years from 2022-05-23 (file date)</t>
  </si>
  <si>
    <t>https://patentscout.innography.com/share/YtXaf6CAvKIi5fDsr6Dixw%3D%3D</t>
  </si>
  <si>
    <t>2022-11-25-DECISION TO GRANT OR REGISTRATION OF PATENT RIGHT|2022-12-02-WRITTEN DECISION TO GRANT</t>
  </si>
  <si>
    <t>https://patentscout.innography.com/share/YtXaf6CAvKIi5fDsr6Dixw%3D%3D/download</t>
  </si>
  <si>
    <t>https://v3.espacenet.com/publicationDetails/biblio?CC=KR&amp;NR=102475093B1&amp;KC=B1&amp;FT=D&amp;date=20221206&amp;DB=EPODOC&amp;locale=</t>
  </si>
  <si>
    <t>KR20102475093 B1</t>
  </si>
  <si>
    <t>1.  A system that provides monitoring of sexual offenses in the metaverse platform, An image including a first image obtained for a specific avatar in the metaverse platform and a second image obtained in a plurality of directions for the specific avatar and one or more other avatars; and conversation information including conversation contents and conversation time between the specific avatar in the metaverse platform and the one or more other avatars; a metaverse platform for acquiring and transmitting to a sex crime determination module; And a sex crime determination module for transmitting and receiving data with the metaverse platform and deriving sex crime determination information for the specific avatar based on the image and the conversation information received from the metaverse platform; including, the sex crime determination module A first image score calculation unit for calculating a first comprehensive score based on the first image; and a second image score calculation unit configured to calculate a second comprehensive score based on the second image; a dialogue information score calculation unit for calculating a third comprehensive score for sex offenses based on the dialogue information; and a sex crime determining unit for deriving the sex crime determination information based on the first comprehensive score, the second comprehensive score, the third comprehensive score, and predetermined reference values, wherein the plurality of directions include: It includes up, down, front, back, left, and right directions corresponding to respective faces of a virtual hexahedron including a specific avatar and one or more other avatars, and the second image includes a plurality of images obtained in different directions, respectively. an image, and the second image score calculation unit calculates a motion score for an operation corresponding to a sex offense performed by the specific avatar to the one or more other avatars based on the second image received from the metaverse platform a motion score calculation unit;An action duration score calculation unit for calculating an action duration score for a duration of an action corresponding to a sex crime committed by the specific avatar to the one or more other avatars based on the second image received from the metaverse platform;an access time score calculation unit for calculating an access time score for a time when the specific avatar enters a region preset for the one or more other avatars, based on the second image received from the metaverse platform; and a second comprehensive score calculating unit calculating a second comprehensive score obtained by summing the motion score, the motion duration score, and the access time score, wherein the predetermined area is a terminal of a user of one or more other avatars. a first sex crime determination unit determining that the first sex crime is a sex crime and deriving first sex crime determination information when the first comprehensive score is greater than a predetermined first reference value;a second sex crime determination unit determining that the second comprehensive score is greater than a predetermined second reference value and deriving second sex crime determination information;a third sex crime determining unit determining that the third comprehensive score is greater than a preset third reference value and deriving third sex crime determination information;a fourth sex crime judgment unit determining that the first comprehensive score is greater than a preset fourth reference value and the third comprehensive score greater than a fifth reference value and deriving fourth sex crime determination information;A fifth sex crime judgment unit determining that the second comprehensive score is greater than a preset sixth reference value and the third comprehensive score greater than the fifth reference value to derive fifth sex crime determination information, A system that provides sexual offense monitoring.</t>
  </si>
  <si>
    <t>6.  delete</t>
  </si>
  <si>
    <t>8.  delete</t>
  </si>
  <si>
    <t>US6684255 B1 | WO2007066329 A2</t>
  </si>
  <si>
    <t>2010-09-02</t>
  </si>
  <si>
    <t>2009-02-25</t>
  </si>
  <si>
    <t>2010-02-25</t>
  </si>
  <si>
    <t>2011-08-25</t>
  </si>
  <si>
    <t>The invention relates to a method for reproducing a scene of a metaverse said scene being defined on a server (3) for a client (5) and comprising a view of objects (7) that are defined in the metaverse. The server (3) transfers a reproduction of the scene to the client (5) said reproduction being restricted in relation to the scene according to a rule defined for the client (5) and the client (5) reproduces an image of the scene. To permit the reproduction of the image and the real time interaction to take place even with low and instable transfer rates between the metaverse and the client (5) the server (3) determines object images (8) that are restricted in relation to the objects (7) according to the rule and the object images (8) in the reproduction are transferred to the client (5). The client (5) synthesises the image from the object images (8).</t>
  </si>
  <si>
    <t>Method for reproducing a scene of a metaverse</t>
  </si>
  <si>
    <t>Scientific Computers Gmbh</t>
  </si>
  <si>
    <t>Scientific Computers GmbH</t>
  </si>
  <si>
    <t>EP2010052393W</t>
  </si>
  <si>
    <t xml:space="preserve">claims
A method for representing a scene of a metaverse, which is defined on a server (3) for a client (5) and comprises a view of objects (7) defined in the metaverse, the server (3) serving the client (5) conveys an image of the scene which is restricted to the scene according to a rule defined for the client (5), and wherein the client (5) displays an image of the scene, characterized in that the server (3) according to the rule faces the objects (7) determines restricted object images (8) and transmits the object images (8) in the image to the client (5) and that the client (5) synthesizes the image from the object images (8).
</t>
  </si>
  <si>
    <t>claims
A method for representing a scene of a metaverse, which is defined on a server (3) for a client (5) and comprises a view of objects (7) defined in the metaverse, the server (3) serving the client (5) conveys an image of the scene which is restricted to the scene according to a rule defined for the client (5), and wherein the client (5) displays an image of the scene, characterized in that the server (3) according to the rule faces the objects (7) determines restricted object images (8) and transmits the object images (8) in the image to the client (5) and that the client (5) synthesizes the image from the object images (8).
2. The method according to the preceding claim, characterized in that based on the rule texture images of textures of the objects (7) are determined, which have a relation to a texture quality of the textures reduced texture image quality and that the texture images with the object images (8) the client (5 ).
3. The method according to any one of the preceding claims, characterized in that based on the rule of the individual objects (7) are excluded from the image.
4. The method according to any one of the preceding claims, characterized in that the rule is defined depending on a parameter of a for the transmission of the image from the server (3) to the client (5) provided communication channel.
5. The method according to the preceding claim, characterized in that the server (3) determines the parameter immediately before the transmission of the image.
6. The method according to any one of the preceding claims, characterized in that the server (3) is a proxy, which receives the scene for the client (5) from a grid (1).</t>
  </si>
  <si>
    <t>A2</t>
  </si>
  <si>
    <t>Dragas, Emilio</t>
  </si>
  <si>
    <t>AE, AG, AL, AM, AO, AT, AU, AZ, BA, BB, BG, BH, BR, BW, BY, BZ, CA, CH, CL, CN, CO, CR, CU, CZ, DE, DK, DM, DO, DZ, EC, EE, EG, ES, FI, GB, GD, GE, GH, GM, GT, HN, HR, HU, ID, IL, IN, IS, JP, KE, KG, KM, KN, KP, KR, KZ, LA, LC, LK, LR, LS, LT, LU, LY, MA, MD, ME, MG, MK, MN, MW, MX, MY, MZ, NA, NG, NI, NO, NZ, OM, PE, PG, PH, PL, PT, RO, RS, RU, SC, SD, SE, SG, SK, SL, SM, ST, SV, SY, TH, TJ, TM, TN, TR, TT, TZ, UA, UG, US, UZ, VC, VN, ZA, ZM, ZW</t>
  </si>
  <si>
    <t>WO2010097430 A3*</t>
  </si>
  <si>
    <t>WO</t>
  </si>
  <si>
    <t>G06N0003006000</t>
  </si>
  <si>
    <t>G06N0003006000 | G06T0011001000 | G06T0015300000 | G06T2200160000 | A63F0013214500 | A63F0013335000 | A63F0013355000 | A63F0013358000 | A63F0013520000 | A63F0013750000 | A63F0013770000 | A63F2300107500 | A63F2300407000 | A63F2300534000 | A63F2300538000 | A63F2300552000 | A63F2300555300 | A63F2300558600 | A63F2300660000</t>
  </si>
  <si>
    <t>G06T01530000</t>
  </si>
  <si>
    <t>WO2010097430A2|DE102009001127A1|WO2010097430A3</t>
  </si>
  <si>
    <t>$7373</t>
  </si>
  <si>
    <t>WO2010097430 A2 | DE102009001127 A1</t>
  </si>
  <si>
    <t>I-000090692302</t>
  </si>
  <si>
    <t>30 months from 2009-02-25 (priority date)</t>
  </si>
  <si>
    <t>https://patentscout.innography.com/share/LaHH9XJDAX_V4WEoGCDZTw%3D%3D</t>
  </si>
  <si>
    <t>2010-10-20-EP: THE EPO HAS BEEN INFORMED BY WIPO THAT EP WAS DESIGNATED IN THIS APPLICATION|2011-08-25-NON-ENTRY INTO THE NATIONAL PHASE IN:|2012-03-21-EP: PCT  APP. NOT ENT. EUROP. PHASE</t>
  </si>
  <si>
    <t>https://patentscout.innography.com/share/LaHH9XJDAX_V4WEoGCDZTw%3D%3D/download</t>
  </si>
  <si>
    <t>https://v3.espacenet.com/publicationDetails/biblio?CC=WO&amp;NR=2010097430A2&amp;KC=A2&amp;FT=D&amp;date=20100902&amp;DB=EPODOC&amp;locale=</t>
  </si>
  <si>
    <t>WO2010095671 A1</t>
  </si>
  <si>
    <t>DE102009001127 A1</t>
  </si>
  <si>
    <t>DIRK BAUER</t>
  </si>
  <si>
    <t>WO Applications</t>
  </si>
  <si>
    <t>US6912565 B1 | US20050216346 A1 | WO2007066329 A2</t>
  </si>
  <si>
    <t>DE102011050867 A1</t>
  </si>
  <si>
    <t>2012-02-07</t>
  </si>
  <si>
    <t>Disclosed is a method for representing a scene of a metaverse which is defined on a server (3) for a client (5) and comprises a view of objects (7) defined in the metaverse the server (3) serving the client (5 ) conveys an image of the scene that is restricted to the scene according to a rule defined for the client (5) and wherein the client (5) displays an image of the scene. In order to enable the representation of the image and the interaction in real time even at low and unstable transmission rates between metaverse and client (5) it is proposed that the server (3) determines restricted object images (8) in relation to the objects (7) and transmitting the object images (8) in the image to the client (5) and that the client (5) synthesizes the image from the object images (8).</t>
  </si>
  <si>
    <t>Method for displaying a scene of a metaverse</t>
  </si>
  <si>
    <t>DE102009001127A</t>
  </si>
  <si>
    <t>Method for displaying a scene of a metaverse on a server (  3  ) for a client (  5  ) and a view of objects defined in the metaverse (  7  ), wherein the server (  3  ) the client (  5  ) conveys an image of the scene that is opposite the scene after one for the client (  5  ) defined rule and where the client (  5  ) represents an image of the scene, characterized in that the server (  3  ) according to the rule against the objects (  7  ) restricted object images (  8th  ) and the object images (  8th  ) in the image to the client (  5  ) and that the client (  5  ) from the object images (  8th  ) synthesized the image.
Method according to the preceding claim, characterized in that based on the rule texture images of textures of the objects (  7  ), which have a reduced texture image quality compared to a texture quality of the textures, and that the texture images with the object images (  8th  ) the client (  5  ).
Method according to one of the preceding claims, characterized in that, based on the rule, individual ones of the objects (  7  ) are excluded from the image.
Method according to one of the preceding claims, characterized in that the rule depends on a parameter for the transmission of the image from the server (  3  ) to the client (  5  ) communication channel is defined.
Method according to the preceding claim, characterized in that the server (  3  ) determines the parameter immediately before the transmission of the image.
Method according to one of the preceding claims, characterized in that the server (  3  ) is a proxy that sets the scene for the client (  5  ) from a grid (  1  ) receives.</t>
  </si>
  <si>
    <t>G06F01516300</t>
  </si>
  <si>
    <t>G06F01516300 | G06T00900000 | G06T01530000</t>
  </si>
  <si>
    <t>$6842</t>
  </si>
  <si>
    <t>I-000090778235</t>
  </si>
  <si>
    <t>https://patentscout.innography.com/share/U4G0OHCaKk2fYNEMxfiPAQ%3D%3D</t>
  </si>
  <si>
    <t>2010-09-09-REQUEST FOR EXAMINATION AS TO PARAGRAPH 44 PATENT LAW|2011-04-07-RESPONSE TO EXAMINATION COMMUNICATION|2011-08-25-AMENDMENT OF IPC MAIN CLASS|2011-08-25-AMENDMENT OF IPC MAIN CLASS|2011-12-19-RESPONSE TO EXAMINATION COMMUNICATION|2011-12-30-REFUSAL DECISION IN EXAMINATION/REGISTRATION PROCEEDINGS|2012-05-10-REFUSAL DECISION NOW FINAL</t>
  </si>
  <si>
    <t>https://patentscout.innography.com/share/U4G0OHCaKk2fYNEMxfiPAQ%3D%3D/download</t>
  </si>
  <si>
    <t>https://v3.espacenet.com/publicationDetails/biblio?CC=DE&amp;NR=102009001127A1&amp;KC=A1&amp;FT=D&amp;date=20100909&amp;DB=EPODOC&amp;locale=</t>
  </si>
  <si>
    <t>BAUER WAGNER PRIESMEYER, Patent- und Rechtsanwälte</t>
  </si>
  <si>
    <t>DE Applications</t>
  </si>
  <si>
    <t>1. Method for displaying a scene of a metaverse on a server (  3  ) for a client (  5  ) and a view of objects defined in the metaverse (  7  ), wherein the server (  3  ) the client (  5  ) conveys an image of the scene that is opposite the scene after one for the client (  5  ) defined rule and where the client (  5  ) represents an image of the scene, characterized in that the server (  3  ) according to the rule against the objects (  7  ) restricted object images (  8th  ) and the object images (  8th  ) in the image to the client (  5  ) and that the client (  5  ) from the object images (  8th  ) synthesized the image.</t>
  </si>
  <si>
    <t>KR102317223 B1 | KR102388442 B1 | KR102423623 B1 | KR102445543 B1 | KR102450736 B1 | WO2022225101 A1</t>
  </si>
  <si>
    <t>2012-01-11</t>
  </si>
  <si>
    <t>2010-07-05</t>
  </si>
  <si>
    <t>2015-08-06</t>
  </si>
  <si>
    <t>PURPOSE: A health care system and method thereof equipped with a metaverse interaction function are provided to supply an optimized exercise guideline by supplying an exercise environment and display an exercise state on a virtual space. CONSTITUTION: A metaverse server(210) manages a coordinate of an object for indicating the user within a metaverse space corresponding to the motion of a user. The metaverse server offers real effect information corresponding to the coordinate. A metaverse client(220) displays a virtual world through a graphic. A reality providing device(230) offers reality effect corresponding to the control of the metaverse client.</t>
  </si>
  <si>
    <t>Health care system having funtion of interworking with metaverse and method for performing the same</t>
  </si>
  <si>
    <t>KR20100064269A</t>
  </si>
  <si>
    <t>A metaverse server that manages coordinates of an object indicating a user in a metaverse space corresponding to a movement of the user and provides sensory effect information corresponding to the coordinates of the object;  A metaverse client that manages objects included in the metaverse to graphically display a virtual world and performs control to provide a sensory effect in accordance with the provided sensory effect information;  A sensory device providing sensory effect corresponding to the control of the metaverse client;  A health care determination device recommending an exercise based on the collected biometric information of the user, and performing a control for adjusting an exercise intensity of the user;  A biometric information collection device for collecting biometric information of a user and providing the collected biometric information to the healthcare determination device; And  Healthcare system with a metaverse interworking function including a health server for storing the user's exercise information.</t>
  </si>
  <si>
    <t>Park, Sang Wook|Jung, Young Giu|Park, Noh Sam|Jang, Jong Hyun</t>
  </si>
  <si>
    <t>G16H0020300000</t>
  </si>
  <si>
    <t>G16H0020300000 | G06T0019003000</t>
  </si>
  <si>
    <t>G06Q05000000</t>
  </si>
  <si>
    <t>G06Q05000000 | G06T01700000</t>
  </si>
  <si>
    <t>KR20120003588A</t>
  </si>
  <si>
    <t>KR20120003588 A</t>
  </si>
  <si>
    <t>I-000102718141</t>
  </si>
  <si>
    <t>https://patentscout.innography.com/share/TtLxydt7iVgrJ3EKUDtnLA%3D%3D</t>
  </si>
  <si>
    <t>2015-08-06-WITHDRAWAL DUE TO NO REQUEST FOR EXAMINATION</t>
  </si>
  <si>
    <t>https://patentscout.innography.com/share/TtLxydt7iVgrJ3EKUDtnLA%3D%3D/download</t>
  </si>
  <si>
    <t>https://v3.espacenet.com/publicationDetails/biblio?CC=KR&amp;NR=20120003588A&amp;KC=A&amp;FT=D&amp;date=20120111&amp;DB=EPODOC&amp;locale=</t>
  </si>
  <si>
    <t>C&amp;S Patent and Law Office</t>
  </si>
  <si>
    <t>특허법인씨엔에스</t>
  </si>
  <si>
    <t>1. A metaverse server that manages coordinates of an object indicating a user in a metaverse space corresponding to a movement of the user and provides sensory effect information corresponding to the coordinates of the object;  A metaverse client that manages objects included in the metaverse to graphically display a virtual world and performs control to provide a sensory effect in accordance with the provided sensory effect information;  A sensory device providing sensory effect corresponding to the control of the metaverse client;  A health care determination device recommending an exercise based on the collected biometric information of the user, and performing a control for adjusting an exercise intensity of the user;  A biometric information collection device for collecting biometric information of a user and providing the collected biometric information to the healthcare determination device; And  Healthcare system with a metaverse interworking function including a health server for storing the user's exercise information.</t>
  </si>
  <si>
    <t>US5884029 A | US7703023 B2 | US20060079325 A1 | US20060294465 A1 | US20070113181 A1 | US20080120558 A1 | US20080195699 A1 | US20090058862 A1</t>
  </si>
  <si>
    <t>US9930043 B2 | US10044849 B2 | US10701077 B2 | CN114285674 A | CN114185428 A | US11507733 B2 | US8947427 B2 | US9046994 B2 | US9087399 B2 | US9192860 B2 | US9223469 B2 | US9342211 B2 | US9386022 B2 | US20140267544 A1 | US9509699 B2 | US8484158 B2 | US8522330 B2 | US20130047217 A1 | US8613646 B2 | US8621368 B2 | US8453219 B2 | US8493386 B2 | US8572207 B2 | US8671142 B2 | US20100050088 A1 | CN101901304 A | US20110191289 A1 | US20120115603 A1 | US20120190449 A1</t>
  </si>
  <si>
    <t>2009-06-18</t>
  </si>
  <si>
    <t>2007-12-18</t>
  </si>
  <si>
    <t>2012-06-17</t>
  </si>
  <si>
    <t>A method is disclosed for providing gameplay in a metaverse application in which players interact with each other and a virtual world by controlling characters that are represented using avatars specified by avatar profiles. The method comprises providing a player with an ability to specify and maintain more than one avatar profile for a character controlled by the player; and allowing an avatar representation of the character to be switched between the more than one avatar profile during gameplay.</t>
  </si>
  <si>
    <t>Rules-based profile switching in metaverse applications</t>
  </si>
  <si>
    <t>avatar|virtual world|gameplay</t>
  </si>
  <si>
    <t>US11/958794</t>
  </si>
  <si>
    <t>RASHAWN N TILLERY</t>
  </si>
  <si>
    <t>2174: Graphical User Interface and Document Processing</t>
  </si>
  <si>
    <t xml:space="preserve">A method for providing gameplay in a metaverse application in which players interact with each other and a virtual world by controlling characters that are represented using avatars specified by avatar profiles, the method comprising:
providing a player with an ability to specify and maintain more than one avatar profile for a character controlled by the player; and
allowing an avatar representation of the character to be switched between the more than one avatar profile during gameplay.
</t>
  </si>
  <si>
    <t>1. A method for providing gameplay in a metaverse application in which players interact with each other and a virtual world by controlling characters that are represented using avatars specified by avatar profiles, the method comprising:
providing a player with an ability to specify and maintain more than one avatar profile for a character controlled by the player; and
allowing an avatar representation of the character to be switched between the more than one avatar profile during gameplay.
2. The method of claim 1, further comprising maintaining a set of rules that specify a set of events that may occur and stipulate which of the more than one avatar profile the avatar representation of the character should be switched to in response to each of the events occurring, and switching the avatar representation of the character between the more than one avatar profile based upon the set of rules.
3. The method of claim 2, further comprising providing a default set of rules as the set of rules, and allowing the player to modify the default set of rules or specify a new set of rules to replace the default set of rules as the set of rules.
4. The method of claim 2, wherein the set of events includes events selected from actions taken by the player, actions taken by the character associated with the player, actions taken by characters controlled by other players of the metaverse application, and events that transpire in the virtual world.
5. The method of claim 1, wherein the metaverse application is provided by a central game server that is in communication with a plurality of game consoles via a network, the game consoles being operated by a plurality of players controlling characters in the virtual world.
6. The method of claim 5, wherein a player account for the player is maintained in a database accessible by the central game server, and wherein each of the more than one avatar profiles is maintained in the player account as a set of avatar attributes.</t>
  </si>
  <si>
    <t>Lyle, Ruthie D|Jones, Angela Richards|Li, Fuyi|Mallempati, Vandana|Nesbitt, Pamela A</t>
  </si>
  <si>
    <t>A63F0013120000</t>
  </si>
  <si>
    <t>A63F0013120000 | A63F0013630000 | A63F2300555300 | G06F0003011000 | G06N0003006000 | A63F0013790000</t>
  </si>
  <si>
    <t>US20090158150A1</t>
  </si>
  <si>
    <t>US20090158150 A1</t>
  </si>
  <si>
    <t>I-000075137836</t>
  </si>
  <si>
    <t>https://patentscout.innography.com/share/Afd-QIbKSI68-NndYgFJpw%3D%3D</t>
  </si>
  <si>
    <t>2007-12-13-ASSIGNMENT (INTERNATIONAL BUSINESS MACHINES)|2007-12-13-ASSIGNMENT (INTERNATIONAL BUSINESS MACHINES CORPORATION)|2012-06-17-INFORMATION ON STATUS: APPLICATION DISCONTINUATION</t>
  </si>
  <si>
    <t>https://patentscout.innography.com/share/Afd-QIbKSI68-NndYgFJpw%3D%3D/download</t>
  </si>
  <si>
    <t>https://ppubs.uspto.gov/pubwebapp/external.html?q=20090158150.pn.</t>
  </si>
  <si>
    <t>103 | US11/079363 | CTFR
103 | US11/079363 | CTNF</t>
  </si>
  <si>
    <t>National Instruments Corp
National Instruments Corp</t>
  </si>
  <si>
    <t>2011-11-25</t>
  </si>
  <si>
    <t>2011-07-07</t>
  </si>
  <si>
    <t>Cantor Colburn</t>
  </si>
  <si>
    <t>1. A method for providing gameplay in a metaverse application in which players interact with each other and a virtual world by controlling characters that are represented using avatars specified by avatar profiles, the method comprising:
providing a player with an ability to specify and maintain more than one avatar profile for a character controlled by the player; and
allowing an avatar representation of the character to be switched between the more than one avatar profile during gameplay.</t>
  </si>
  <si>
    <t>KR101116196 B1 | KR20190107787 A | KR20220030729 A</t>
  </si>
  <si>
    <t>2022-12-05</t>
  </si>
  <si>
    <t>2022-06-24</t>
  </si>
  <si>
    <t>2022-07-27</t>
  </si>
  <si>
    <t>2042-07-27</t>
  </si>
  <si>
    <t>The present invention relates to an integrated logistics system using a metabus implemented to implement a nationwide network smart distribution management using a metabus reproduced in a warehouse form using a metabus platform a logistics warehouse for storing goods; And the actual logistics space of the logistics warehouse is mapped and expressed as a metaverse which is a virtual logistics space and the goods stored in the logistics warehouse are placed in a location in the virtual logistics space corresponding to the storage location of the actual logistics space of the logistics warehouse. Includes a metaverse implementation server that maps and expresses.</t>
  </si>
  <si>
    <t>Integrated logistics system using metaverse</t>
  </si>
  <si>
    <t>KR20220093379A</t>
  </si>
  <si>
    <t>Logistics warehouse for storing goods; And the actual logistics space of the logistics warehouse is mapped and expressed as a metaverse, which is a virtual logistics space, and the goods stored in the logistics warehouse are placed in a location in the virtual logistics space corresponding to the storage location of the actual logistics space of the logistics warehouse. A metaverse implementation server that maps and expresses; includes, and captures at least one item that transmits image information generated by moving along the upper side of the warehouse while photographing items stored in the warehouse to the metaverse implementation server. unit; wherein the metaverse implementation server reads the image information transmitted from the item photographing unit to read the import or export of items stored in the warehouse, and the item photographing unit reads the image information transmitted from the warehouse A movable rail extending along the upper side;a sliding unit connected to the movable rail and sliding along the movable rail;a rotation unit rotatably connected to the lower side of the sliding unit;a tilting unit connected to and installed at a lower side of the rotation unit so as to be tiltable; And a photographing unit installed at the front end of the tilting unit, photographing a surrounding image, generating image information, and transmitting the image information to the metaverse implementation server; including, the sliding unit is connected to one side of the moving rail. a first wheel-type gear that moves along one side of the moving rail while rotating in the forward and backward directions;a second wheel-type gear connected to the other side of the movable rail and moving while rotating in a forward and backward direction along the other side of the movable rail; And a unit installation frame to which the first wheel-type gear is connected to one side, the second wheel-type gear is connected to the other side, and the rotation unit is installed to the lower side; includes, the moving rail, the logistics A rail body portion extending along the upper side of the warehouse;A first wheel-shaped gear extending in the longitudinal direction along one side of the rail body so that the first wheel-shaped gear can be seated, and forming a gear mountain along the bottom surface to engage with the gear mountain of the first wheel-shaped gear. sliding groove;A second wheel-shaped gear extending in the longitudinal direction along the other side of the rail body so that the second wheel-shaped gear can be seated, and forming a gear mountain along the bottom surface to engage with the gear mountain of the second wheel-shaped gear. sliding groove;It is installed along the inner side of the upper part of the rail body, and the lower outward surface is exposed to the upper side of the first sliding groove and is in close contact with the upper side of the first wheel gear seated in the first sliding groove, and the first wheel a first rotation guidance belt which forms a gear mountain along an outward surface so as to be engaged with the gear mountain of the type gear, and is rotated in a forward or reverse direction to rotate the first wheel-type gear; And it is installed along the inner side of the upper part of the rail body, the lower outward surface is exposed to the upper side of the second sliding groove and is in close contact with the upper side of the second wheel gear seated in the second sliding groove, and the second A second rotation guide belt forming a gear mountain along an outward surface so as to be engaged with the gear mountain of the wheel gear and rotating in a forward or reverse direction to rotate the second wheel gear; The portion is formed to extend in the longitudinal direction, the first rotation guide belt is installed along the inner side of one side, the upper body to which the second rotation guide belt is installed along the inner side of the other side;a lower body facing the upper body and spaced downward from the upper body;an intermediate body extending from the lower end of the upper body in a lower right angle direction, seated along the upper end of the lower body, and having the first sliding groove formed on one side and the second sliding groove formed on the other side; and a plurality of spacing control units installed at regular intervals along the inside of the middle body and adjusting a spacing between the upper body and the lower body while supporting the lower body. The control unit may include an inner housing extending upward and downward along the inner side of the intermediate body while forming a closed internal space; an intermediate plate formed in a flat plate shape corresponding to the cross section of the inner space of the inner housing and disposed in the middle of the inner space of the inner housing; an upper support spring installed on an upper side of the inner space of the inner housing to support an upper side of the middle plate; a lower support spring installed on the lower side of the inner space of the inner housing to support the lower side of the middle plate; a mounting frame installed upright on the lower side of the middle plate, the lower end of which is exposed to the lower side of the middle body, and then installed on the upper end of the lower body to support the lower body; and supplying fluid to the upper side of the inner space of the inner housing where the upper support spring is installed to lower the stop plate, or recovering the fluid supplied to the upper side of the inner space of the inner housing where the upper support spring is installed. An integrated logistics system using a metabus, including; a height control pump that raises the stopping plate.</t>
  </si>
  <si>
    <t>Logistics warehouse for storing goods; And the actual logistics space of the logistics warehouse is mapped and expressed as a metaverse, which is a virtual logistics space, and the goods stored in the logistics warehouse are placed in a location in the virtual logistics space corresponding to the storage location of the actual logistics space of the logistics warehouse. A metaverse implementation server that maps and expresses; includes, and captures at least one item that transmits image information generated by moving along the upper side of the warehouse while photographing items stored in the warehouse to the metaverse implementation server. unit; wherein the metaverse implementation server reads the image information transmitted from the item photographing unit to read the import or export of items stored in the warehouse, and the item photographing unit reads the image information transmitted from the warehouse A movable rail extending along the upper side;a sliding unit connected to the movable rail and sliding along the movable rail;a rotation unit rotatably connected to the lower side of the sliding unit;a tilting unit connected to and installed at a lower side of the rotation unit so as to be tiltable; And a photographing unit installed at the front end of the tilting unit, photographing a surrounding image, generating image information, and transmitting the image information to the metaverse implementation server; including, the sliding unit is connected to one side of the moving rail. a first wheel-type gear that moves along one side of the moving rail while rotating in the forward and backward directions;a second wheel-type gear connected to the other side of the movable rail and moving while rotating in a forward and backward direction along the other side of the movable rail; And a unit installation frame to which the first wheel-type gear is connected to one side, the second wheel-type gear is connected to the other side, and the rotation unit is installed to the lower side; includes, the moving rail, the logistics A rail body portion extending along the upper side of the warehouse;A first wheel-shaped gear extending in the longitudinal direction along one side of the rail body so that the first wheel-shaped gear can be seated, and forming a gear mountain along the bottom surface to engage with the gear mountain of the first wheel-shaped gear. sliding groove;A second wheel-shaped gear extending in the longitudinal direction along the other side of the rail body so that the second wheel-shaped gear can be seated, and forming a gear mountain along the bottom surface to engage with the gear mountain of the second wheel-shaped gear. sliding groove;It is installed along the inner side of the upper part of the rail body, and the lower outward surface is exposed to the upper side of the first sliding groove and is in close contact with the upper side of the first wheel gear seated in the first sliding groove, and the first wheel a first rotation guidance belt which forms a gear mountain along an outward surface so as to be engaged with the gear mountain of the type gear, and is rotated in a forward or reverse direction to rotate the first wheel-type gear; And it is installed along the inner side of the upper part of the rail body, the lower outward surface is exposed to the upper side of the second sliding groove and is in close contact with the upper side of the second wheel gear seated in the second sliding groove, and the second A second rotation guide belt forming a gear mountain along an outward surface so as to be engaged with the gear mountain of the wheel gear and rotating in a forward or reverse direction to rotate the second wheel gear; The portion is formed to extend in the longitudinal direction, the first rotation guide belt is installed along the inner side of one side, the upper body to which the second rotation guide belt is installed along the inner side of the other side;a lower body facing the upper body and spaced downward from the upper body;an intermediate body extending from the lower end of the upper body in a lower right angle direction, seated along the upper end of the lower body, and having the first sliding groove formed on one side and the second sliding groove formed on the other side; and a plurality of spacing control units installed at regular intervals along the inside of the middle body and adjusting a spacing between the upper body and the lower body while supporting the lower body. The control unit may include an inner housing extending upward and downward along the inner side of the intermediate body while forming a closed internal space; an intermediate plate formed in a flat plate shape corresponding to the cross section of the inner space of the inner housing and disposed in the middle of the inner space of the inner housing; an upper support spring installed on an upper side of the inner space of the inner housing to support an upper side of the middle plate; a lower support spring installed on the lower side of the inner space of the inner housing to support the lower side of the middle plate; a mounting frame installed upright on the lower side of the middle plate, the lower end of which is exposed to the lower side of the middle body, and then installed on the upper end of the lower body to support the lower body; and supplying fluid to the upper side of the inner space of the inner housing where the upper support spring is installed to lower the stop plate, or recovering the fluid supplied to the upper side of the inner space of the inner housing where the upper support spring is installed. An integrated logistics system using a metabus, including; a height control pump that raises the stopping plate.
The method of claim 1, wherein the metaverse implementation server recognizes in real time the goods brought in or out of the distribution warehouse and carries them in or out in the virtual distribution space, thereby changing the inventory of goods in the virtual distribution space. An integrated logistics system using metabus that is synchronized and managed with the actual logistics space of the warehouse.
According to claim 1, as a terminal used by the manager who manages the distribution warehouse, a manager terminal for receiving an input of the inventory of goods carried in or out of the distribution warehouse from the manager; further comprising, integration using the metaverse logistics system.
The method of claim 1, further comprising an identification code that stores product information, is attached to each product brought into the warehouse, and transmits the stored product information to the identification terminal through short-range wireless communication when the identification terminal approaches. Including, integrated logistics system using metaverse.
delete</t>
  </si>
  <si>
    <t>G06Q0010080000</t>
  </si>
  <si>
    <t>G06Q01008000</t>
  </si>
  <si>
    <t>G06Q01008000 | G06Q01010000 | G06Q05010000 | H04N00718000</t>
  </si>
  <si>
    <t>KR102473999B1</t>
  </si>
  <si>
    <t>KR102473999 B1 | KR102474004 B1</t>
  </si>
  <si>
    <t>I-000233305579</t>
  </si>
  <si>
    <t>20 years from 2022-07-27 (file date)</t>
  </si>
  <si>
    <t>https://patentscout.innography.com/share/xJAp-WB2gyYYpw2rEhIcXg%3D%3D</t>
  </si>
  <si>
    <t>2022-11-30-WRITTEN DECISION TO GRANT</t>
  </si>
  <si>
    <t>https://patentscout.innography.com/share/xJAp-WB2gyYYpw2rEhIcXg%3D%3D/download</t>
  </si>
  <si>
    <t>https://v3.espacenet.com/publicationDetails/biblio?CC=KR&amp;NR=102473999B1&amp;KC=B1&amp;FT=D&amp;date=20221205&amp;DB=EPODOC&amp;locale=</t>
  </si>
  <si>
    <t>KR20102473999 B1</t>
  </si>
  <si>
    <t>1.  Logistics warehouse for storing goods; And the actual logistics space of the logistics warehouse is mapped and expressed as a metaverse, which is a virtual logistics space, and the goods stored in the logistics warehouse are placed in a location in the virtual logistics space corresponding to the storage location of the actual logistics space of the logistics warehouse. A metaverse implementation server that maps and expresses; includes, and captures at least one item that transmits image information generated by moving along the upper side of the warehouse while photographing items stored in the warehouse to the metaverse implementation server. unit; wherein the metaverse implementation server reads the image information transmitted from the item photographing unit to read the import or export of items stored in the warehouse, and the item photographing unit reads the image information transmitted from the warehouse A movable rail extending along the upper side;a sliding unit connected to the movable rail and sliding along the movable rail;a rotation unit rotatably connected to the lower side of the sliding unit;a tilting unit connected to and installed at a lower side of the rotation unit so as to be tiltable; And a photographing unit installed at the front end of the tilting unit, photographing a surrounding image, generating image information, and transmitting the image information to the metaverse implementation server; including, the sliding unit is connected to one side of the moving rail. a first wheel-type gear that moves along one side of the moving rail while rotating in the forward and backward directions;a second wheel-type gear connected to the other side of the movable rail and moving while rotating in a forward and backward direction along the other side of the movable rail; And a unit installation frame to which the first wheel-type gear is connected to one side, the second wheel-type gear is connected to the other side, and the rotation unit is installed to the lower side; includes, the moving rail, the logistics A rail body portion extending along the upper side of the warehouse;A first wheel-shaped gear extending in the longitudinal direction along one side of the rail body so that the first wheel-shaped gear can be seated, and forming a gear mountain along the bottom surface to engage with the gear mountain of the first wheel-shaped gear. sliding groove;A second wheel-shaped gear extending in the longitudinal direction along the other side of the rail body so that the second wheel-shaped gear can be seated, and forming a gear mountain along the bottom surface to engage with the gear mountain of the second wheel-shaped gear. sliding groove;It is installed along the inner side of the upper part of the rail body, and the lower outward surface is exposed to the upper side of the first sliding groove and is in close contact with the upper side of the first wheel gear seated in the first sliding groove, and the first wheel a first rotation guidance belt which forms a gear mountain along an outward surface so as to be engaged with the gear mountain of the type gear, and is rotated in a forward or reverse direction to rotate the first wheel-type gear; And it is installed along the inner side of the upper part of the rail body, the lower outward surface is exposed to the upper side of the second sliding groove and is in close contact with the upper side of the second wheel gear seated in the second sliding groove, and the second A second rotation guide belt forming a gear mountain along an outward surface so as to be engaged with the gear mountain of the wheel gear and rotating in a forward or reverse direction to rotate the second wheel gear; The portion is formed to extend in the longitudinal direction, the first rotation guide belt is installed along the inner side of one side, the upper body to which the second rotation guide belt is installed along the inner side of the other side;a lower body facing the upper body and spaced downward from the upper body;an intermediate body extending from the lower end of the upper body in a lower right angle direction, seated along the upper end of the lower body, and having the first sliding groove formed on one side and the second sliding groove formed on the other side; and a plurality of spacing control units installed at regular intervals along the inside of the middle body and adjusting a spacing between the upper body and the lower body while supporting the lower body. The control unit may include an inner housing extending upward and downward along the inner side of the intermediate body while forming a closed internal space; an intermediate plate formed in a flat plate shape corresponding to the cross section of the inner space of the inner housing and disposed in the middle of the inner space of the inner housing; an upper support spring installed on an upper side of the inner space of the inner housing to support an upper side of the middle plate; a lower support spring installed on the lower side of the inner space of the inner housing to support the lower side of the middle plate; a mounting frame installed upright on the lower side of the middle plate, the lower end of which is exposed to the lower side of the middle body, and then installed on the upper end of the lower body to support the lower body; and supplying fluid to the upper side of the inner space of the inner housing where the upper support spring is installed to lower the stop plate, or recovering the fluid supplied to the upper side of the inner space of the inner housing where the upper support spring is installed. An integrated logistics system using a metabus, including; a height control pump that raises the stopping plate.</t>
  </si>
  <si>
    <t>KR20200075520 A</t>
  </si>
  <si>
    <t>KR102461333 B1 | KR102474653 B1</t>
  </si>
  <si>
    <t>2021-12-14</t>
  </si>
  <si>
    <t>2020-06-05</t>
  </si>
  <si>
    <t>2021-06-07</t>
  </si>
  <si>
    <t>2041-06-07</t>
  </si>
  <si>
    <t>The present invention relates to a metaverse-based content realization system for the dead comprising: a terminal unit for receiving information about the deceased which is information about the deceased or companion animal information which is information about a dead companion animal; a content output unit that is worn by a user and outputs content about a deceased or dead companion animal; a content manipulation unit that is worn by the user and generates a manipulation signal for the content according to the user&amp;#39;s manipulation; and generating the content based on the deceased information or the companion animal information received from the terminal unit transmitting the generated content to the content output unit and allowing the user to interact with the content according to the manipulation signal and a server for controlling the content output unit so that the content is a character or voice of the deceased or the dead companion animal implemented in a metaverse environment. According to the present invention the user can interact with the deceased or dead companion animal by implementing the live appearance and voice of the deceased or dead companion animal in the metaverse environment so that the user can interact with the deceased or dead companion animal with a higher level of immersion. there is an effect</t>
  </si>
  <si>
    <t>Content implementation system for the deceased based on metaverse</t>
  </si>
  <si>
    <t>implementation system|deceased|companion animal|companion</t>
  </si>
  <si>
    <t>Moonshot</t>
  </si>
  <si>
    <t>Moonshot, Inc.</t>
  </si>
  <si>
    <t>KR20210073678A</t>
  </si>
  <si>
    <t>a terminal unit for receiving information about the deceased, which is information about the deceased, or companion animal information, which is information about a dead companion animal;a content output unit that is worn by a user and outputs content about a deceased or dead companion animal;a content manipulation unit that is worn by the user and generates a manipulation signal for the content according to the user's manipulation; and generating the content based on the deceased information or the companion animal information received from the terminal unit, transmitting the generated content to the content output unit, and allowing the user to interact with the content according to the manipulation signal and a server for controlling the content output unit so that the content is output, wherein the content is a character or voice of the deceased or the dead companion animal implemented in a metaverse environment.</t>
  </si>
  <si>
    <t>a terminal unit for receiving information about the deceased, which is information about the deceased, or companion animal information, which is information about a dead companion animal;a content output unit that is worn by a user and outputs content about a deceased or dead companion animal;a content manipulation unit that is worn by the user and generates a manipulation signal for the content according to the user's manipulation; and generating the content based on the deceased information or the companion animal information received from the terminal unit, transmitting the generated content to the content output unit, and allowing the user to interact with the content according to the manipulation signal and a server for controlling the content output unit so that the content is output, wherein the content is a character or voice of the deceased or the dead companion animal implemented in a metaverse environment.
The system according to claim 1, wherein the character is implemented in any one of virtual reality, augmented reality, and mixed reality.
The system according to claim 1, wherein the voice is implemented through an artificial neural network model trained to generate a response sentence corresponding to the user's utterance sentence.
The method according to claim 1, wherein the deceased information includes information about the deceased's photo, video, age, gender, appearance, height, weight, personality, habit, facial expression, voice strength, voice height, tone, pronunciation, and tone. The companion animal information includes at least one, and the companion animal information is information about the picture, video, age, gender, appearance, height, weight, personality, habit, expression, voice strength, voice height and tone of the dead companion animal. A metaverse-based content implementation system for the dead, including at least one of.
The method according to claim 1, wherein the server unit comprises: a communication module communicating with the terminal unit, the content output unit, and the content manipulation unit; and a storage module for storing the deceased information or the companion animal information input from the terminal unit; A character realization module that creates a character of the deceased or the dead companion animal based on the deceased information or the companion animal information and implements the created character in the metaverse environment, and the stored deceased information or the companion animal information A metaverse-based deceased, comprising: a voice realization module for realizing the voice of the deceased or the dead companion animal based on the for the content implementation system.
The metaverse-based content realization system for the dead according to claim 1, further comprising a puppet unit that operates in conjunction with the movement of the character implemented in the metaverse environment.</t>
  </si>
  <si>
    <t>Cho, Ye Won</t>
  </si>
  <si>
    <t>G06Q0050100000 | G06T0019006000</t>
  </si>
  <si>
    <t>G06Q05010000 | G06T01900000</t>
  </si>
  <si>
    <t>KR20210151713A</t>
  </si>
  <si>
    <t>KR20210151713 A</t>
  </si>
  <si>
    <t>I-000219355948</t>
  </si>
  <si>
    <t>20 years from 2021-06-07 (file date)</t>
  </si>
  <si>
    <t>https://patentscout.innography.com/share/Xy8UloAJ9X3u3tzu3ee_6Q%3D%3D</t>
  </si>
  <si>
    <t>https://patentscout.innography.com/share/Xy8UloAJ9X3u3tzu3ee_6Q%3D%3D/download</t>
  </si>
  <si>
    <t>https://v3.espacenet.com/publicationDetails/biblio?CC=KR&amp;NR=20210151713A&amp;KC=A&amp;FT=D&amp;date=20211214&amp;DB=EPODOC&amp;locale=</t>
  </si>
  <si>
    <t>1.  a terminal unit for receiving information about the deceased, which is information about the deceased, or companion animal information, which is information about a dead companion animal;a content output unit that is worn by a user and outputs content about a deceased or dead companion animal;a content manipulation unit that is worn by the user and generates a manipulation signal for the content according to the user's manipulation; and generating the content based on the deceased information or the companion animal information received from the terminal unit, transmitting the generated content to the content output unit, and allowing the user to interact with the content according to the manipulation signal and a server for controlling the content output unit so that the content is output, wherein the content is a character or voice of the deceased or the dead companion animal implemented in a metaverse environment.</t>
  </si>
  <si>
    <t>JP2017510862 A | JP2020091811 A | KR101923723 B1</t>
  </si>
  <si>
    <t>2022-05-09</t>
  </si>
  <si>
    <t>2020-12-17</t>
  </si>
  <si>
    <t>2040-12-17</t>
  </si>
  <si>
    <t>The present invention relates to a metaverse spatial streaming system and method comprising: a metaverse spatial information storage unit for storing metaverse spatial information in correspondence with information on a plurality of metaverse driving servers; receiving a metaverse access request from a user terminal;  a metaverse driving server management unit that selects a metaverse driving server and metaverse spatial information corresponding to the metaverse connection request from among the plurality of metaverse driving servers and the selected metaverse driving server accesses the metaverse to the user terminal A metaverse spatial streaming system including a metaverse driving server control unit that controls to stream a metaverse spatial image corresponding to a metaverse space corresponding to a request and a metaverse spatial streaming method thereof are provided.</t>
  </si>
  <si>
    <t>A system and method for streaming metaverse space</t>
  </si>
  <si>
    <t>Colorverse Inc.</t>
  </si>
  <si>
    <t>COLORVERSE INC.</t>
  </si>
  <si>
    <t>KR20200177290A</t>
  </si>
  <si>
    <t>a metaverse spatial information storage unit for storing metaverse spatial information in correspondence with information on a plurality of metaverse driving servers;a server pool management unit for storing information on a plurality of candidate servers capable of operating as metaverse-driven servers;Receives a metaverse access request from a user terminal, and selects metaverse spatial information and a metaverse driving server corresponding to the metaverse access request from among the plurality of metaverse driving servers, the metaverse corresponding to the metaverse access request When a running server does not exist, information on the selected candidate server is received from the server pool management unit, the selected candidate server is driven, and metaverse spatial information corresponding to the metaverse access request is transmitted to the selected candidate server. and, the selected candidate server includes a metaverse driving server management unit that loads the metaverse space and resources of the metaverse space based on the transmitted metaverse space information, and the selected metaverse driving server to the user terminal. and a metaverse driving server control unit that controls to stream a metaverse space image for the metaverse space corresponding to the bus connection request;The server pool management unit selects a metaverse-driven server that satisfies a predetermined condition among the plurality of metaverse-driven servers, converts it to a candidate server, stores information on the converted candidate server, and the metaverse spatial information storage unit The metaverse spatial streaming system, characterized in that the information on the metaverse driving server that has been converted to the candidate server is removed.</t>
  </si>
  <si>
    <t>a metaverse spatial information storage unit for storing metaverse spatial information in correspondence with information on a plurality of metaverse driving servers;a server pool management unit for storing information on a plurality of candidate servers capable of operating as metaverse-driven servers;Receives a metaverse access request from a user terminal, and selects metaverse spatial information and a metaverse driving server corresponding to the metaverse access request from among the plurality of metaverse driving servers, the metaverse corresponding to the metaverse access request When a running server does not exist, information on the selected candidate server is received from the server pool management unit, the selected candidate server is driven, and metaverse spatial information corresponding to the metaverse access request is transmitted to the selected candidate server. and, the selected candidate server includes a metaverse driving server management unit that loads the metaverse space and resources of the metaverse space based on the transmitted metaverse space information, and the selected metaverse driving server to the user terminal. and a metaverse driving server control unit that controls to stream a metaverse space image for the metaverse space corresponding to the bus connection request;
The server pool management unit selects a metaverse-driven server that satisfies a predetermined condition among the plurality of metaverse-driven servers, converts it to a candidate server, stores information on the converted candidate server, and the metaverse spatial information storage unit The metaverse spatial streaming system, characterized in that the information on the metaverse driving server that has been converted to the candidate server is removed.
delete
delete
delete
delete
The method of claim 1, wherein the server pool management unit checks information about the number of user terminals streaming metaverse spatial images from the plurality of metaverse driving servers, A metaverse spatial streaming system, characterized in that the time-lapsed server is converted into a candidate server.
The metaverse driving server of claim 1, wherein the metaverse driving server maintains the metaverse space and the resources of the metaverse space in a memory based on corresponding metaverse space information, and in response to a control command from the metaverse driving server controller , The metaverse space streaming system, characterized in that the image is rendered based on the viewpoint and gaze information determined for each user terminal in the metaverse space and then streamed to the user terminal.
The time point of claim 7 , wherein the metaverse driving server receives a control command from the user terminal, and based on the received control command, the metaverse space, the resources of the metaverse space, and the user terminal and controlling one of the gazes, and streaming the metaverse spatial image changed as a result of the control to the user terminal.
A metaverse spatial streaming method of a metaverse spatial streaming system having a central processing unit and a memory, the method comprising: a metaverse spatial information storage step of storing metaverse spatial information in correspondence with information on a plurality of metaverse driving servers;a server pool management step of storing information on a plurality of candidate servers capable of operating as metaverse-driven servers;Receives a metaverse access request from a user terminal, and provides metaverse spatial information and a metaverse driving server corresponding to the metaverse access request among the plurality of metaverse driving servers.Receives a metaverse access request from a user terminal, and selects corresponding to the metaverse access request When a running server does not exist, information on the selected candidate server is received from the server pool management unit, the selected candidate server is driven, and metaverse spatial information corresponding to the metaverse access request is transmitted to the selected candidate server. a metaverse-driven server management step of loading the metaverse space and resources of the metaverse space based on the transmitted metaverse space information by the selected candidate server, and the selected metaverse-driven server is sent to the user terminal a metaverse driving server control step of controlling to stream a metaverse space image for the metaverse space corresponding to the metaverse access request;
In the server pool management step, a metaverse-driven server satisfying a predetermined condition is selected from among the plurality of metaverse-driven servers, converted into a candidate server, information about the switched candidate server is stored, and the metaverse space information is stored. Step is a metaverse spatial streaming method, characterized in that removing information on the metaverse driving server that has been converted to the candidate server.
delete
delete
delete
delete
10. The method of claim 9, wherein the server pool management step checks information on the number of user terminals streaming metaverse spatial images from the plurality of metaverse driving servers, A metaverse spatial streaming method, characterized in that converting a server whose time has elapsed into a candidate server.
The method of claim 9, wherein the metaverse driving server maintains the metaverse space and the resources of the metaverse space in a memory based on corresponding metaverse space information, and responds to a control command from the metaverse driving server controller and rendering an image based on the viewpoint and gaze information determined for each user terminal in the metaverse space and streaming the image to the user terminal in the metaverse space.
The method of claim 15, wherein the operating the metaverse server receives a control command from the user terminal, and corresponds to the metaverse space, the resources of the metaverse space, and the user terminal based on the received control command. A metaverse spatial streaming method, comprising controlling any one of a viewing point and a gaze, and streaming a metaverse spatial image changed as a result of the control to the user terminal.
A computer-readable recording medium in which a program for causing a computer to execute the method of any one of claims 9 and 14 to 16 is recorded.</t>
  </si>
  <si>
    <t>Jin, Se Hyung</t>
  </si>
  <si>
    <t>H04N0021222000</t>
  </si>
  <si>
    <t>H04N0021222000 | H04N0021231000 | H04N0021234000 | H04N0021478200 | H04N0021810000</t>
  </si>
  <si>
    <t>H04N02122200</t>
  </si>
  <si>
    <t>H04N02122200 | H04N02123100 | H04N02123400 | H04N02181000</t>
  </si>
  <si>
    <t>KR102394158B1|WO2022131602A1</t>
  </si>
  <si>
    <t>KR102394158 B1 | WO2022131602 A1</t>
  </si>
  <si>
    <t>I-000225376611</t>
  </si>
  <si>
    <t>20 years from 2020-12-17 (file date)</t>
  </si>
  <si>
    <t>https://patentscout.innography.com/share/1eSP1wLR5htM4GYPXvMmTw%3D%3D</t>
  </si>
  <si>
    <t>2022-04-13-DECISION TO GRANT OR REGISTRATION OF PATENT RIGHT|2022-04-29-WRITTEN DECISION TO GRANT</t>
  </si>
  <si>
    <t>https://patentscout.innography.com/share/1eSP1wLR5htM4GYPXvMmTw%3D%3D/download</t>
  </si>
  <si>
    <t>https://v3.espacenet.com/publicationDetails/biblio?CC=KR&amp;NR=102394158B1&amp;KC=B1&amp;FT=D&amp;date=20220509&amp;DB=EPODOC&amp;locale=</t>
  </si>
  <si>
    <t>KR20102394158 B1</t>
  </si>
  <si>
    <t>1.  a metaverse spatial information storage unit for storing metaverse spatial information in correspondence with information on a plurality of metaverse driving servers;a server pool management unit for storing information on a plurality of candidate servers capable of operating as metaverse-driven servers;Receives a metaverse access request from a user terminal, and selects metaverse spatial information and a metaverse driving server corresponding to the metaverse access request from among the plurality of metaverse driving servers, the metaverse corresponding to the metaverse access request When a running server does not exist, information on the selected candidate server is received from the server pool management unit, the selected candidate server is driven, and metaverse spatial information corresponding to the metaverse access request is transmitted to the selected candidate server. and, the selected candidate server includes a metaverse driving server management unit that loads the metaverse space and resources of the metaverse space based on the transmitted metaverse space information, and the selected metaverse driving server to the user terminal. and a metaverse driving server control unit that controls to stream a metaverse space image for the metaverse space corresponding to the bus connection request;
The server pool management unit selects a metaverse-driven server that satisfies a predetermined condition among the plurality of metaverse-driven servers, converts it to a candidate server, stores information on the converted candidate server, and the metaverse spatial information storage unit The metaverse spatial streaming system, characterized in that the information on the metaverse driving server that has been converted to the candidate server is removed.</t>
  </si>
  <si>
    <t>2.  delete</t>
  </si>
  <si>
    <t>9.  A metaverse spatial streaming method of a metaverse spatial streaming system having a central processing unit and a memory, the method comprising: a metaverse spatial information storage step of storing metaverse spatial information in correspondence with information on a plurality of metaverse driving servers;a server pool management step of storing information on a plurality of candidate servers capable of operating as metaverse-driven servers;Receives a metaverse access request from a user terminal, and provides metaverse spatial information and a metaverse driving server corresponding to the metaverse access request among the plurality of metaverse driving servers.Receives a metaverse access request from a user terminal, and selects corresponding to the metaverse access request When a running server does not exist, information on the selected candidate server is received from the server pool management unit, the selected candidate server is driven, and metaverse spatial information corresponding to the metaverse access request is transmitted to the selected candidate server. a metaverse-driven server management step of loading the metaverse space and resources of the metaverse space based on the transmitted metaverse space information by the selected candidate server, and the selected metaverse-driven server is sent to the user terminal a metaverse driving server control step of controlling to stream a metaverse space image for the metaverse space corresponding to the metaverse access request;
In the server pool management step, a metaverse-driven server satisfying a predetermined condition is selected from among the plurality of metaverse-driven servers, converted into a candidate server, information about the switched candidate server is stored, and the metaverse space information is stored. Step is a metaverse spatial streaming method, characterized in that removing information on the metaverse driving server that has been converted to the candidate server.</t>
  </si>
  <si>
    <t>10.  delete</t>
  </si>
  <si>
    <t>11.  delete</t>
  </si>
  <si>
    <t>12.  delete</t>
  </si>
  <si>
    <t>13.  delete</t>
  </si>
  <si>
    <t>JP2010097465 A | JP2017510862 A | JP2020091811 A | KR20180054377 A | US20150128062 A1</t>
  </si>
  <si>
    <t>2021-11-24</t>
  </si>
  <si>
    <t>2023-06-17</t>
  </si>
  <si>
    <t>The present invention relates to a system and method for streaming in a metaverse space and presents a system for streaming in a metaverse space and a method thereof the system comprising: a metaverse space information storage unit which stores metaverse space information in association with information about a plurality of metaverse-driving servers; a metaverse-driving server management unit which receives a metaverse connection request from a user terminal and selects the metaverse space information and a metaverse-driving server corresponding to the metaverse connection request from among the plurality of metaverse-driving servers; and a metaverse-driving server control unit which controls so that the selected metaverse-driving server streams to the user terminal a metaverse space video for a metaverse space corresponding to the metaverse connection request.</t>
  </si>
  <si>
    <t>System and method for streaming in metaverse space</t>
  </si>
  <si>
    <t>Puppyred Inc.</t>
  </si>
  <si>
    <t>PUPPYRED INC.</t>
  </si>
  <si>
    <t>KR2021017374W</t>
  </si>
  <si>
    <t>a metaverse spatial information storage unit for storing metaverse spatial information in correspondence with information on a plurality of metaverse driving servers;a metaverse driving server management unit that receives a metaverse access request from a user terminal, and selects metaverse spatial information and a metaverse driving server corresponding to the metaverse access request from among the plurality of metaverse driving servers; and the selected metaverse driving server and a metaverse driving server controller controlling the server to stream a metaverse space image for the metaverse space corresponding to the metaverse access request to the user terminal.</t>
  </si>
  <si>
    <t>a metaverse spatial information storage unit for storing metaverse spatial information in correspondence with information on a plurality of metaverse driving servers;a metaverse driving server management unit that receives a metaverse access request from a user terminal, and selects metaverse spatial information and a metaverse driving server corresponding to the metaverse access request from among the plurality of metaverse driving servers; and the selected metaverse driving server and a metaverse driving server controller controlling the server to stream a metaverse space image for the metaverse space corresponding to the metaverse access request to the user terminal.
          The metaverse of claim 1 , further comprising a server pool manager configured to store information on a plurality of candidate servers that can operate as metaverse-driven servers, wherein the metaverse-driven server manager corresponds to the metaverse access request. If there is no driving server, the metaverse spatial streaming system, characterized in that receiving information about the selected candidate server from the server pool management unit, and driving the selected candidate server.
          3 . The method of claim 2 , wherein the metaverse driving server manager transmits metaverse spatial information corresponding to the metaverse access request to the selected candidate server, and wherein the selected candidate server transmits the metaverse spatial information based on the transmitted metaverse spatial information. A metaverse space streaming system, characterized in that it loads the metaverse space and the resources of the metaverse space.
          The metaverse spatial streaming system of claim 3 , wherein the metaverse spatial information storage unit stores information on the selected candidate server in correspondence to metaverse spatial information corresponding to the metaverse access request.
          5 . The method of claim 4 , wherein the server pool management unit selects a metaverse-driven server that satisfies a predetermined condition among the plurality of metaverse-driven servers, converts it to a candidate server, and stores information about the converted candidate server; Metaverse spatial information storage unit Metaverse spatial streaming system, characterized in that it removes information about the metaverse driving server that has been converted to the candidate server.
          The method of claim 5, wherein the server pool management unit checks information about the number of user terminals streaming metaverse spatial images from the plurality of metaverse driving servers, A metaverse spatial streaming system characterized in that a server whose time has elapsed is converted into a candidate server.
          The metaverse driving server of claim 1, wherein the metaverse driving server maintains the metaverse space and resources of the metaverse space in a memory based on corresponding metaverse space information, and in response to a control command from the metaverse driving server controller , A metaverse space streaming system, characterized in that the image is rendered based on the viewpoint and gaze information determined for each user terminal in the metaverse space and then streamed to the user terminal.
          The time point of claim 7 , wherein the metaverse driving server receives a control command from the user terminal, and based on the received control command, the metaverse space, the resource of the metaverse space, and the user terminal and controlling one of the gazes, and streaming the metaverse spatial image changed as a result of the control to the user terminal.
          A metaverse spatial streaming method of a metaverse spatial streaming system having a central processing unit and a memory, the method comprising: storing metaverse spatial information in correspondence with metaverse spatial information and information on a plurality of metaverse driving servers;A metaverse driving server management step of receiving a metaverse access request from a user terminal, and selecting metaverse spatial information and a metaverse driving server corresponding to the metaverse access request from among the plurality of metaverse driving servers, and the selected metaverse and a metaverse driving server controlling step of controlling, by a driving server, to stream a metaverse space image for the metaverse space corresponding to the metaverse access request to the user terminal.
          The method of claim 1 , further comprising: managing a server pool for storing information on a plurality of candidate servers that can operate as metaverse-driven servers, wherein the managing of metaverse-driven servers is configured to correspond to the metaverse connection request. When the metaverse driving server does not exist, the metaverse spatial streaming method, characterized in that receiving information about the selected candidate server from the server pool management unit, and driving the selected candidate server.
          11 . The method of claim 10 , wherein the managing of the metaverse driving server transmits metaverse spatial information corresponding to the metaverse access request to the selected candidate server, and wherein the selected candidate server transmits the metaverse spatial information based on the transmitted metaverse spatial information. The metaverse space streaming method, characterized in that the metaverse space and the resources of the metaverse space are loaded.
          The metaverse spatial streaming method of claim 11 , wherein the storing of the metaverse spatial information comprises storing the information on the selected candidate server in correspondence with metaverse spatial information corresponding to the metaverse access request.
          The method of claim 12 , wherein the managing of the server pool comprises: selecting a metaverse-driven server that satisfies a predetermined condition among the plurality of metaverse-driven servers, converting it to a candidate server, and storing information about the converted candidate server; In the storing metaverse spatial information, the metaverse spatial streaming method, characterized in that the information on the metaverse driving server that has been converted to the candidate server is removed.
          The method of claim 13 , wherein the server pool management step is performed by checking information on the number of user terminals streaming metaverse spatial images from the plurality of metaverse driving servers, and after the number of user terminals for streaming becomes 0 A metaverse spatial streaming method, characterized in that converting a server whose time has elapsed into a candidate server.
          10 . The method of claim 9 , wherein the metaverse driving server maintains the metaverse space and the resources of the metaverse space in a memory based on corresponding metaverse space information, and responds to a control command from the metaverse driving server controller and rendering an image based on the viewpoint and gaze information determined for each user terminal in the metaverse space and streaming the image to the user terminal in the metaverse space.
          The method of claim 15 , wherein the operating of the metaverse driving server comprises: Receives a control command from the user terminal, and corresponds to the metaverse space, the resource of the metaverse space, and the user terminal based on the received control command A metaverse spatial streaming method, characterized in that by controlling any one of a viewing point and a gaze, and streaming a metaverse spatial image changed as a result of the control to the user terminal.
          A computer-readable recording medium in which a program for causing a computer to execute the method of any one of claims 9 to 16 is recorded.</t>
  </si>
  <si>
    <t>AE, AG, AL, AM, AO, AT, AU, AZ, BA, BB, BG, BH, BN, BR, BW, BY, BZ, CA, CH, CL, CN, CO, CR, CU, CZ, DE, DJ, DK, DM, DO, DZ, EC, EE, EG, ES, FI, GB, GD, GE, GH, GM, GT, HN, HR, HU, ID, IL, IN, IR, IS, IT, JO, JP, KE, KG, KH, KN, KP, KW, KZ, LA, LC, LK, LR, LS, LU, LY, MA, MD, ME, MG, MK, MN, MW, MX, MY, MZ, NA, NG, NI, NO, NZ, OM, PA, PE, PG, PH, PL, PT, QA, RO, RS, RU, RW, SA, SC, SD, SE, SG, SK, SL, ST, SV, SY, TH, TJ, TM, TN, TR, TT, TZ, UA, UG, US, UZ, VC, VN, WS, ZA, ZM, ZW</t>
  </si>
  <si>
    <t>H04N02122200 | H04N02123100 | H04N02123400 | H04N02147820 | H04N02181000</t>
  </si>
  <si>
    <t>I-000226659460</t>
  </si>
  <si>
    <t>30 months from 2020-12-17 (priority date)</t>
  </si>
  <si>
    <t>https://patentscout.innography.com/share/CkmzhdMExaoJP2pAmDj7sg%3D%3D</t>
  </si>
  <si>
    <t>2022-08-03-EP: THE EPO HAS BEEN INFORMED BY WIPO THAT EP WAS DESIGNATED IN THIS APPLICATION</t>
  </si>
  <si>
    <t>https://patentscout.innography.com/share/CkmzhdMExaoJP2pAmDj7sg%3D%3D/download</t>
  </si>
  <si>
    <t>https://v3.espacenet.com/publicationDetails/biblio?CC=WO&amp;NR=2022131602A1&amp;KC=A1&amp;FT=D&amp;date=20220623&amp;DB=EPODOC&amp;locale=</t>
  </si>
  <si>
    <t>WO2021221753 A1</t>
  </si>
  <si>
    <t>1.  a metaverse spatial information storage unit for storing metaverse spatial information in correspondence with information on a plurality of metaverse driving servers;a metaverse driving server management unit that receives a metaverse access request from a user terminal, and selects metaverse spatial information and a metaverse driving server corresponding to the metaverse access request from among the plurality of metaverse driving servers; and the selected metaverse driving server and a metaverse driving server controller controlling the server to stream a metaverse space image for the metaverse space corresponding to the metaverse access request to the user terminal.</t>
  </si>
  <si>
    <t>9.  A metaverse spatial streaming method of a metaverse spatial streaming system having a central processing unit and a memory, the method comprising: storing metaverse spatial information in correspondence with metaverse spatial information and information on a plurality of metaverse driving servers;A metaverse driving server management step of receiving a metaverse access request from a user terminal, and selecting metaverse spatial information and a metaverse driving server corresponding to the metaverse access request from among the plurality of metaverse driving servers, and the selected metaverse and a metaverse driving server controlling step of controlling, by a driving server, to stream a metaverse space image for the metaverse space corresponding to the metaverse access request to the user terminal.</t>
  </si>
  <si>
    <t>KR102239039 B1 | KR20150123423 A | KR20180123458 A | KR20210099556 A</t>
  </si>
  <si>
    <t>2022-07-14</t>
  </si>
  <si>
    <t>2022-01-10</t>
  </si>
  <si>
    <t>2042-01-10</t>
  </si>
  <si>
    <t>In the present invention the existing EEG method is difficult to interpret and subjective factors can have a large influence on the interpretation even for an experienced reader. ) When measuring a signal the amplitude of the signal may vary depending on the measurement conditions and the energy of the alpha wave or beta wave may be different for each subject even in the same stable or excited state. and even if EEG is measured there is no device to recognize the user&amp;#39;s emotions according to EEG analysis right on the spot and there is no device that can treat those emotions on the spot. Multi-channel EEG helmet module 100 HMD module 200 for metaverse driving EEG-BCI module 300 AI control module for emotion-customized CBT to improve the unfortunate problem of refusing or avoiding treatment As consisting of (400) In the metaverse virtual space users can create event situations related to joy fear sadness joy anger disgust and depression that users have experienced in the past so attention and relaxation can be improved by 80% compared to the previous ones. It is possible to remove artifacts and noises such as movement and breathing among EEG signals thereby reducing the error rate measuring high-quality EEG signals 1.5 to 3 times better than before and AI for customized CBT Under the control of the control module it is possible to generate emotion data according to the current user&amp;#39;s brain wave by analyzing the signal-processed EEG signal with wavelet transformation and power spectrum and matching it with the learned emotion data. 80% improved objectivity and reliable emotional data can be generated and joy fear sadness joy anger disgust Through a cognitive behavioral therapy method that corrects incorrect views and interpretations while giving specific behavioral tasks through a series of persuasion and debate in order to change the user&amp;#39;s irrational thinking about the emotions of depression users The purpose is to provide a 1:1 emotion-tailored cognitive behavioral therapy generating device and method in metaverse space through an AI control module for emotion-customized CBT that can increase emotion treatment efficiency by up to 70% by increasing the self-efficacy of have.</t>
  </si>
  <si>
    <t>Apparatus and method for generating 1:1 emotion-tailored cognitive behavioral therapy in metaverse space through ai control module for emotion-customized cbt</t>
  </si>
  <si>
    <t>Song, Ye Won</t>
  </si>
  <si>
    <t>KR20220003080A</t>
  </si>
  <si>
    <t>When the user sees and feels in the metaverse virtual space, the EEG is measured, and based on the emotional state of the measured EEG, the metaverse virtual space content for cognitive behavioral therapy customized for 1:1 emotion is created in the metaverse virtual space. In the apparatus for generating 1:1 emotion-tailored cognitive behavioral therapy in the metaverse space, the apparatus for generating 1:1 emotion-tailored cognitive behavioral therapy in the metaverse space is worn on the head like a helmet to create a metaverse virtual Seeing, feeling, and moving the space EEG (EEG:Electroencephalogram) multi-channel multi-channel EEG helmet module 100, located on one side of the multi-channel EEG helmet module, worn on the user's head in a head mounted display (HMD) structure, emotion induction to measure brain waves A metaverse driving HMD module (200) that drives the metaverse virtual space for emotional ) and the multi-channel EEG helmet module and the AI control module for emotion-customized CBT, it forms a BCI (Brain Computer Interface) network and transmits the EEG signal measured by the multi-channel EEG helmet module for emotion-customized CBT. After receiving the EEG-BCI module 300, which is transmitted to the AI control module, and the EEG signal measured by the multi-channel EEG helmet module through the EEG-BCI module, the EEG signal is analyzed with wavelet conversion and power spectrum. ,It generates emotion data according to the current user's brainwave by reasoning while learning, and controls to transmit the metaverse virtual space contents for 1:1 emotion-customized cognitive behavioral therapy according to the generated emotion data to the HMD module for driving the metaverse. 1:1 emotion-tailored cognitive behavioral therapy generating device in metaverse space through the AI control module for emotion-customized CBT, characterized in that it consists of an AI control module 400 for emotion-customized CBT.</t>
  </si>
  <si>
    <t>When the user sees and feels in the metaverse virtual space, the EEG is measured, and based on the emotional state of the measured EEG, the metaverse virtual space content for cognitive behavioral therapy customized for 1:1 emotion is created in the metaverse virtual space. In the apparatus for generating 1:1 emotion-tailored cognitive behavioral therapy in the metaverse space, the apparatus for generating 1:1 emotion-tailored cognitive behavioral therapy in the metaverse space is worn on the head like a helmet to create a metaverse virtual Seeing, feeling, and moving the space EEG (EEG:
Electroencephalogram) multi-channel multi-channel EEG helmet module 100, located on one side of the multi-channel EEG helmet module, worn on the user's head in a head mounted display (HMD) structure, emotion induction to measure brain waves A metaverse driving HMD module (200) that drives the metaverse virtual space for emotional ) and the multi-channel EEG helmet module and the AI control module for emotion-customized CBT, it forms a BCI (Brain Computer Interface) network and transmits the EEG signal measured by the multi-channel EEG helmet module for emotion-customized CBT. After receiving the EEG-BCI module 300, which is transmitted to the AI control module, and the EEG signal measured by the multi-channel EEG helmet module through the EEG-BCI module, the EEG signal is analyzed with wavelet conversion and power spectrum. ,
It generates emotion data according to the current user's brainwave by reasoning while learning, and controls to transmit the metaverse virtual space contents for 1:1 emotion-customized cognitive behavioral therapy according to the generated emotion data to the HMD module for driving the metaverse. 1:1 emotion-tailored cognitive behavioral therapy generating device in metaverse space through the AI control module for emotion-customized CBT, characterized in that it consists of an AI control module 400 for emotion-customized CBT.
delete
According to claim 1, wherein the multi-channel EEG helmet module 100 is formed in the shape of a helmet, the EEG helmet module body 110 that protects and supports each device from external pressure, and a multi-channel cylindrical cell structure, the user's head A multi-channel EEG-BCI EEG electrode cell 120 that is formed around the surface of the EEG helmet module body so as to be in contact with the outer skin and measures the user's EEG, and an EEG signal measured by the multi-channel EEG-BCI EEG electrode cell. 1:1 emotion-tailored cognitive behavioral therapy generating device in metaverse space through an AI control module for emotion-customized CBT, characterized in that it consists of a differential amplification circuit unit 130 that removes noise by differentially amplifying the
The metaverse virtual space driven HMD module body 210 of claim 1, wherein the metaverse driving HMD module 200 is worn on the head like glasses to protect and support each device from external pressure, and the metaverse virtual Located in the user's gaze area of the space-driven HMD module body, it drives the metaverse virtual space for emotion induction that measures brain waves, or 1:1 emotion customization according to the emotional state analyzed from the AI control module for emotion-customized CBT A metaverse virtual space driven HMD display unit 220 that displays a metaverse virtual space for cognitive behavior therapy, and a metaverse virtual space driven HMD display unit located on one side of the front end of the metaverse virtual space driven HMD display unit, a metaverse virtual space for emotional induction, 1 :1 Metaverse virtual space driven micro-optics 230 that implements the Metaverse virtual space for emotional customized cognitive behavioral therapy as a VR screen, and one side of the Metaverse virtual space driven HMD module body is located in machine parts, sensors, actuators,
The metaverse virtual space driven MEMS substrate 240 is formed in the form of a package assembly with an electronic circuit on a single silicon substrate in a miniature MEMS structure, and the metaverse virtual space driven MEMS substrate is located in the MEMS substrate, so that the overall operation of each device while controlling the brain waves, drive the metaverse virtual space for emotional induction that measures brain waves, or use the metaverse virtual space for 1:1 emotion-tailored cognitive behavioral therapy according to the emotional state analyzed from the AI control module for emotion-customized CBT. A metaverse virtual space driven HMD controller 250 for controlling display, and a metaverse virtual space driven HMD located on the other side of the rear or side of the metaverse virtual space driven HMD module body to supply power to each device The battery unit 260 and the metaverse virtual space driven HMD battery unit are located on one side, and are connected to an AI control module for customized CBT located in a short distance or a distance through a wireless communication network,
1:1 emotion-tailored cognitive behavioral therapy generating device in metaverse space through AI control module for emotion-customized CBT, characterized in that it consists of a metaverse virtual space driven HMD wireless communication unit 270 that performs two-way data communication .
According to claim 1, wherein the AI control module 400 for customized CBT AI socket for customized CBT, AI chip for customized CBT AI chip board (410) for supporting the AI chip for customized CBT so as not to be shaken by external pressure Wow, AI socket unit 420 for emotion-customized CBT, which inserts an AI chip for emotion-customized CBT as SoC (System of Chip) type, and receives the measured brain wave (EEG) signal as a wavelet conversion and power spectrum. After analysis, emotion-customized CBT that generates emotion data according to the current user's brain waves by reasoning while learning, and controls to extract 1:1 emotion-tailored metaverse virtual space content for cognitive behavioral therapy that matches the generated emotion data 1:1 emotion-tailored cognitive behavioral therapy generating device in metaverse space through an AI control module for emotion-customized CBT, characterized in that it consists of an AI chip 430.
According to claim 5, wherein the AI chip 430 for customized CBT receives the EEG signal measured by the multi-channel EEG helmet module through the EEG-BCI module and processes the EEG signal. ), the EEG signal processed through the EEG signal processing control unit into a wavelet transformation and EEG analysis as a power spectrum, and an EEG analysis algorithm engine unit 432, and the EEG analysis algorithm engine unit into several waves in the frequency domain. Based on the separated power spectrum distribution structure, while learning through CRNN (Convolutional Recurrent Neural Networks) artificial intelligence algorithm, inferred and matched with emotional data corresponding to joy, fear, sadness, pleasure, anger, disgust, and depression, An AI-type emotion data extraction unit 433 that extracts the user's emotional state, and
It is composed of a metaverse virtual space content creation control unit 434 for CBT that controls to transmit the metaverse virtual space content for 1:1 emotional customized cognitive behavioral therapy to the HMD module for driving the metaverse according to the generated emotion data. A 1:1 emotion-tailored cognitive behavioral therapy generating device in metaverse space through AI control module for emotion-customized CBT.
The method according to claim 6, wherein the brain wave analysis algorithm engine unit 432 includes a wavelet transformation algorithm engine unit 432a that tracks a spectrum change of each frequency band according to the progress of an event in the signal-processed EEG signal; In each frequency band that has been extracted through the wavelet transformation algorithm engine unit, it is characterized by comprising a power spectrum analysis control unit 432b that converts a time series signal that changes with time into a frequency domain and controls it to be separated into a plurality of waves A 1:1 emotion-tailored cognitive behavioral therapy generating device in metaverse space through AI control module for emotion-customized CBT.
The method according to claim 6, wherein the metaverse virtual space content creation control unit 434 for CBT is a class that inherits JFrame Class of OpenGL, and mainly controls FullScreen of metaverse; Alternatively, a MetaJFrame unit 434a for CBT serving as a container for UI (User Interface) components and a metaverse thread representing a unit of program that can be processed simultaneously with frame rate (Frame rate) Thread), a meta-animator unit 434b for CBT that manages metaverse frame rates and various threads, and a meta for CBT that plays the role of a top-level abstract class for defining objects on the metaverse. A clip (MetaClip) unit 434c, and a CBT metavisitor unit 434d serving as an interface for controlling or moving objects on the metaverse;
After defining the metaGRF unit 434e for CBT, which performs a self-storing role that manages data to store on-site spatial 3D data, and the code of the reproduced metaverse event, the event is implemented on the metaverse. 1:1 emotion-tailored cognitive behavioral therapy generating device in metaverse space through an AI control module for emotion-customized CBT, characterized in that it comprises a meta-event listener (MetaEventListener) unit (434f) for CBT that controls to do so.
According to claim 6, wherein the metaverse virtual space content creation control unit (434) for CBT similarly generates the past situation that the user was pleased with in the metaverse virtual space, and then discusses with a doctor who is an expert in conversation with the current metaverse. The metaverse virtual space content creation control unit (434g) for joy-type CBT that controls to generate virtual space content that can maintain the joy feelings felt in the virtual space, and the metaverse virtual space similar to the past situation in which the user had fear CBT, which controls the creation of virtual space content that gradually reduces the distance from the object in the past situation in which the user had fear while discussing and discussing with a doctor who is an expert, and resolving the user's fear one by one. The metaverse virtual space content creation control unit 434h for the user and the user similarly create the past situation in which the user had sadness in the metaverse virtual space, and then discuss with a doctor who is an expert in conversation to resolve the user's fear of sadness one by one as you go along,
The metaverse virtual space content creation control unit 434i for sadness-type CBT that controls to create virtual space content that gradually reduces the distance from the object in the past situation that had sadness, and the metaverse virtual space that the user enjoyed in the past similarly After being created in , the metaverse virtual space content creation control unit 434j for pleasure-type CBT that controls to generate virtual space content that can maintain the pleasant emotion felt in the current metaverse virtual space while talking with a doctor who is an expert ) and the user's past situations in which they had anger similarly created in the metaverse virtual space, then discussed with a doctor who is an expert, and resolved the user's fear of anger one by one, the object in the past situation where he had anger After the metaverse virtual space content creation control unit 434k for anger-type CBT that controls to create virtual space content that gradually reduces the distance from each other, and the past situation that the user had aversion to similarly generated in the metaverse virtual space,
Metaverse for hate-type CBT that controls the creation of virtual space content that gradually reduces the distance from the object in the past situation in which the user had aversion while discussing and talking with a doctor who is an expert The virtual space content creation control unit 434l similarly creates a specific avatar in the metaverse virtual space for the past situation in which the user had depression, and then allows the user to talk and comfort the specific avatar suffering from depression, and vice versa. Virtual space contents that gradually reduce the distance from the subject in the past situation with depression while relieving the user's fear of depression one by one by telling the user the same conversations and comforting contents that the user gave to a specific avatar suffering from depression 1:1 emotion-tailored cognitive behavioral therapy in metaverse space through an AI control module for emotion-customized CBT, characterized in that it consists of a metaverse virtual space content creation control unit (434m) for depression-type CBT that controls to generate generating device.
The metaverse driving HMD module is worn on the user's head, and the multi-channel EEG helmet module is worn on the head like a helmet (S10), and the metaverse for emotional induction measuring EEG from the metaverse driving HMD module In the step of driving the bus virtual space (S20) and in the multi-channel EEG helmet module, the user wears the multi-channel EEG helmet module on the head like a helmet, and sees and feels the metaverse virtual space, and moves the brain activity EEG (EEG:
Electroencephalogram) is measured in multiple channels (S30), and through the EEG-BCI module, a BCI (Brain Computer Interface) network is formed, and the EEG signal measured by the multi-channel EEG helmet module is used for emotion-customized CBT. Transmitting it to the AI control module (S40) and receiving the EEG signal measured by the multi-channel EEG helmet module through the AI control module for emotion-customized CBT, and analyzing the EEG with wavelet conversion and power spectrum Step (S50) and the step (S60) of generating emotion data according to the current user's brainwave by inferring while learning based on the data analyzed by EEG through the AI control module for emotion-customized CBT (S60), AI for emotion-customized CBT Transmitting the metaverse virtual space content for 1:1 emotion-customized cognitive behavioral therapy according to the emotional data generated through the control module to the HMD module for driving the metaverse (S70);
Metaverse space through AI control module for emotion-customized CBT, characterized in that it comprises the step (S80) of driving the metaverse virtual space for 1:1 emotion-tailored cognitive behavioral therapy according to the emotional state in the metaverse driving HMD module A method of generating 1:1 emotion-tailored cognitive behavioral therapy in
11. The method of claim 10, wherein in the metaverse driving HMD module, driving the metaverse virtual space for 1:1 emotion-tailored cognitive behavioral therapy according to the emotional state (S80) is when the user's emotion analysis result shows depression. A step (S81) of forming one adult avatar, one child avatar, two chairs and one mirror in the metaverse virtual space, giving the feeling that you are in a separate metaverse virtual space (S81); Inducing the child avatar sitting on the side to cry in depression (S82), expressing compassion and comforting the child avatar to the adult avatar, a depressed patient (S83), and the adult avatar, a depressed patient Steps of guiding the child avatar to gradually stop crying by using the words and actions of scissors (S84), and changing the positions of the adult avatar and the child avatar to set the child avatar to become a depressed patient (S85) Wow,
Steps (S86) and S81, S82, S83 of guiding the child avatar who is a depressed patient to experience the same as receiving comfort from himself by receiving the words and actions of the adult avatar taken as it is, as it is the behavior of the depressed patient himself. , 1:1 emotion in metaverse space through AI control module for emotion-customized CBT, characterized in that the step (S87) of repeating the process of S84, S85, and S86 by time period and date period is included. A method for creating customized cognitive behavioral therapy.</t>
  </si>
  <si>
    <t>A61M0021020000</t>
  </si>
  <si>
    <t>A61M02102000</t>
  </si>
  <si>
    <t>A61M02102000 | A61B00500000 | A61B00516000 | A61B00529100 | A61B00537200 | A61M02100000 | G16H02070000</t>
  </si>
  <si>
    <t>KR102420359B1</t>
  </si>
  <si>
    <t>$23312</t>
  </si>
  <si>
    <t>KR102420359 B1</t>
  </si>
  <si>
    <t>I-000227796436</t>
  </si>
  <si>
    <t>20 years from 2022-01-10 (file date)</t>
  </si>
  <si>
    <t>https://patentscout.innography.com/share/T6Vknje6jEZqE25WCE0Z5Q%3D%3D</t>
  </si>
  <si>
    <t>2022-06-20-DECISION TO GRANT OR REGISTRATION OF PATENT RIGHT|2022-07-04-NOTIFICATION OF CHANGE OF APPLICANT|2022-07-08-WRITTEN DECISION TO GRANT</t>
  </si>
  <si>
    <t>https://patentscout.innography.com/share/T6Vknje6jEZqE25WCE0Z5Q%3D%3D/download</t>
  </si>
  <si>
    <t>https://v3.espacenet.com/publicationDetails/biblio?CC=KR&amp;NR=102420359B1&amp;KC=B1&amp;FT=D&amp;date=20220714&amp;DB=EPODOC&amp;locale=</t>
  </si>
  <si>
    <t>KR20102420359 B1</t>
  </si>
  <si>
    <t>1.  When the user sees and feels in the metaverse virtual space, the EEG is measured, and based on the emotional state of the measured EEG, the metaverse virtual space content for cognitive behavioral therapy customized for 1 :1 emotion is created in the metaverse virtual space. In the apparatus for generating 1 :1 emotion-tailored cognitive behavioral therapy in the metaverse space, the apparatus for generating 1 :1 emotion-tailored cognitive behavioral therapy in the metaverse space is worn on the head like a helmet to create a metaverse virtual Seeing, feeling, and moving the space EEG (EEG:
Electroencephalogram) multi-channel multi-channel EEG helmet module 100 , located on one side of the multi-channel EEG helmet module, worn on the user's head in a head mounted display (HMD) structure, emotion induction to measure brain waves A metaverse driving HMD module (200 ) that drives the metaverse virtual space for emotional ) and the multi-channel EEG helmet module and the AI control module for emotion-customized CBT, it forms a BCI (Brain Computer Interface) network and transmits the EEG signal measured by the multi-channel EEG helmet module for emotion-customized CBT. After receiving the EEG-BCI module 300 , which is transmitted to the AI control module, and the EEG signal measured by the multi-channel EEG helmet module through the EEG-BCI module, the EEG signal is analyzed with wavelet conversion and power spectrum. ,
It generates emotion data according to the current user's brainwave by reasoning while learning, and controls to transmit the metaverse virtual space contents for 1 :1 emotion-customized cognitive behavioral therapy according to the generated emotion data to the HMD module for driving the metaverse. 1 :1 emotion-tailored cognitive behavioral therapy generating device in metaverse space through the AI control module for emotion-customized CBT, characterized in that it consists of an AI control module 400 for emotion-customized CBT.</t>
  </si>
  <si>
    <t>10.  The metaverse driving HMD module is worn on the user's head, and the multi-channel EEG helmet module is worn on the head like a helmet (S10 ), and the metaverse for emotional induction measuring EEG from the metaverse driving HMD module In the step of driving the bus virtual space (S20 ) and in the multi-channel EEG helmet module, the user wears the multi-channel EEG helmet module on the head like a helmet, and sees and feels the metaverse virtual space, and moves the brain activity EEG (EEG:
Electroencephalogram) is measured in multiple channels (S30 ), and through the EEG-BCI module, a BCI (Brain Computer Interface) network is formed, and the EEG signal measured by the multi-channel EEG helmet module is used for emotion-customized CBT. Transmitting it to the AI control module (S40 ) and receiving the EEG signal measured by the multi-channel EEG helmet module through the AI control module for emotion-customized CBT, and analyzing the EEG with wavelet conversion and power spectrum Step (S50 ) and the step (S60 ) of generating emotion data according to the current user's brainwave by inferring while learning based on the data analyzed by EEG through the AI control module for emotion-customized CBT (S60 ), AI for emotion-customized CBT Transmitting the metaverse virtual space content for 1 :1 emotion-customized cognitive behavioral therapy according to the emotional data generated through the control module to the HMD module for driving the metaverse (S70 );
Metaverse space through AI control module for emotion-customized CBT, characterized in that it comprises the step (S80 ) of driving the metaverse virtual space for 1 :1 emotion-tailored cognitive behavioral therapy according to the emotional state in the metaverse driving HMD module A method of generating 1 :1 emotion-tailored cognitive behavioral therapy in</t>
  </si>
  <si>
    <t>2022-07-08</t>
  </si>
  <si>
    <t>2021-10-27</t>
  </si>
  <si>
    <t>2041-10-27</t>
  </si>
  <si>
    <t>According to the present invention in a method for implementing a blockchain-based metaverse world (a) a metaverse server includes: corresponding location information for a specific point in the metaverse world current digital content for the corresponding location information; and embedding location information for embedding the current data storage box wherein the current data storage box includes link information for accessing the current digital content and the embedding location information is a part of the corresponding location information from the user. to do; (b) generating by the metaverse server a storage box block including the corresponding location information the current digital content and the embedding location information; and (c) the metaverse server encrypts the storage box block to generate an encrypted storage box block and transmits the encrypted storage box block to a blockchain server causing the blockchain server to record the encrypted storage box block A method comprising assisting to do so is disclosed.</t>
  </si>
  <si>
    <t>Method for implementing blockchain based metaverse world and metaverse server using the same</t>
  </si>
  <si>
    <t>Obigo Inc.</t>
  </si>
  <si>
    <t>Obigo Inc</t>
  </si>
  <si>
    <t>KR20210145069A</t>
  </si>
  <si>
    <t>A method for implementing a blockchain-based metaverse world, comprising: (a) a metaverse server, corresponding location information for a specific point in the metaverse world, current digital content for the corresponding location information, and a current data storage box embedding location information in which the data storage box is embedded - the corresponding location information represents the GPS location information where the current digital content is generated, and the embedding location information represents location information in the metaverse world in which the current data storage box is embedded, obtaining from a user that the current data storage box includes link information for accessing the current digital content and is provided in a displayed state on the metaverse world with reference to the embedding location information; (b) generating, by the metaverse server, a storage box block including the corresponding location information, the current digital content, and the embedding location information;and (c) the metaverse server encrypts the storage box block to generate an encrypted storage box block, and transmits the encrypted storage box block to a blockchain server, causing the blockchain server to record the encrypted storage box block a plurality of data including, after step (c), (d) the current data storage box corresponding to the user displayed in the metaverse world from the user terminal corresponding to the user When a specific data storage box is selected from among storage boxes, the metaverse server transmits a verification request for the user to the block chain server, and in response, the block chain server confirms the verification request, supporting the user terminal to display the current digital content corresponding to the specific data storage box;and (e) the metaverse server acquires other corresponding location information from other users other than the user, other digital contents for the other corresponding location information, and other embedding location information for embedding other data storage boxes. In , when accessing the metaverse world using the user terminal corresponding to the user, the current data storage box of the user and the other data storage box of the other user are mapped to a predetermined point designated by the user The method further comprising the step of assisting to display the</t>
  </si>
  <si>
    <t>A method for implementing a blockchain-based metaverse world, comprising: (a) a metaverse server, corresponding location information for a specific point in the metaverse world, current digital content for the corresponding location information, and a current data storage box embedding location information in which the data storage box is embedded - the corresponding location information represents the GPS location information where the current digital content is generated, and the embedding location information represents location information in the metaverse world in which the current data storage box is embedded, obtaining from a user that the current data storage box includes link information for accessing the current digital content and is provided in a displayed state on the metaverse world with reference to the embedding location information; (b) generating, by the metaverse server, a storage box block including the corresponding location information, the current digital content, and the embedding location information;
and (c) the metaverse server encrypts the storage box block to generate an encrypted storage box block, and transmits the encrypted storage box block to a blockchain server, causing the blockchain server to record the encrypted storage box block a plurality of data including, after step (c), (d) the current data storage box corresponding to the user displayed in the metaverse world from the user terminal corresponding to the user When a specific data storage box is selected from among storage boxes, the metaverse server transmits a verification request for the user to the block chain server, and in response, the block chain server confirms the verification request, supporting the user terminal to display the current digital content corresponding to the specific data storage box;
and (e) the metaverse server acquires other corresponding location information from other users other than the user, other digital contents for the other corresponding location information, and other embedding location information for embedding other data storage boxes. In , when accessing the metaverse world using the user terminal corresponding to the user, the current data storage box of the user and the other data storage box of the other user are mapped to a predetermined point designated by the user The method further comprising the step of assisting to display the
The method of claim 1, wherein in step (c), (c11) determining, by the metaverse server, whether a private key corresponding to the user exists;(c12) If it is determined that the private key corresponding to the user does not exist, the metaverse server provides a UI for authentication to the user terminal corresponding to the user, and identification input through the UI for authentication obtaining information and verifying whether the user is eligible;(c13) when the qualification of the user is verified, the metaverse server transmitting a unique key issuance request to the block chain server, and receiving a verification key corresponding to the unique key from the block chain server;(c14) the metaverse server obtaining the private key by the user terminal with reference to the proof key, and the metaverse server obtaining a public key corresponding to the private key;(c15) generating, by the metaverse server, the encrypted storage box block by encrypting the storage box block using the public key; and (c16) sending, by the metaverse server, the encrypted storage box block to the block chain server, and supporting the block chain server to record the encrypted storage box block.
The method according to claim 2, wherein (c17) if the user's eligibility is verified, the metaverse server maps the current data storage box in the metaverse world with reference to the corresponding location information and the embedding location information. The method further comprising the step of recording.
The method of claim 1, wherein in step (c), (c21) determining, by the metaverse server, whether a private key corresponding to the user exists;(c22) when it is determined that the private key corresponding to the user exists, the metaverse server encrypts the storage box block using the public key corresponding to the private key to generate the encrypted storage box block step; and (c23) sending, by the metaverse server, the encrypted storage box block to the block chain server, and supporting the block chain server to record the encrypted storage box block.
5. The method of claim 4, wherein (c24) if it is determined that the private key corresponding to the user exists, the metaverse server refers to the corresponding location information and the embedding location information in the metaverse world. The method further comprising the step of mapping and recording the current data storage box.
According to claim 4, (c25) It is determined that the private key corresponding to the user exists, and it is determined that at least one existing data storage box corresponding to the user is mapped to a predetermined point in the metaverse world. When it is, the metaverse server additionally maps and records the current data storage box in the metaverse world with reference to the corresponding location information and the embedding location information, and stores the existing data as information about the user. A method characterized in that the information on the box is updated and stored by adding the current data storage box.
delete
The method of claim 1, wherein in step (a), the metaverse server supports to set whether to disclose the current digital content corresponding to the current data storage box, and if the current digital content is set to be private, , in a state in which the current data storage box is displayed in the metaverse world, and controls to disable viewing of the current digital content even if the current data storage box is selected, wherein the current digital content is made public When set, in a state in which the current data storage box is displayed in the metaverse world, when the current data storage box is selected, viewing of the current digital content is controlled to be possible.
delete
The method according to claim 1, wherein (f) when the other data storage box is selected by the user, the metaverse server supports to browse the other digital content corresponding to the other data storage box, and The method further comprising the step of supporting to provide a UI that can leave the user's impression in another guestbook corresponding to the digital content.
A metaverse server for implementing a blockchain-based metaverse world, comprising: at least one memory for storing instructions; and at least one processor configured to execute the instructions, wherein the processor comprises: (I) corresponding location information for a specific point in the metaverse world, current digital content for the corresponding location information, and current data Buried location information in which the storage box is embedded - The corresponding location information indicates GPS location information where the current digital content is generated, and the embedded location information includes location information in the metaverse world in which the current data storage box is embedded. a process of obtaining from a user that the current data storage box includes link information for accessing the current digital content and is provided in a displayed state on the metaverse world with reference to the embedding location information;
(II) a process of generating a storage box block including the corresponding location information, the current digital content, and the embedding location information; and (III) encrypting the storage box block to generate an encrypted storage box block and transmitting the encrypted storage box block to a blockchain server, thereby supporting the blockchain server to record the encrypted storage box block. However, after the (III) process, (VI) storing specific data among a plurality of data storage boxes including the current data storage box corresponding to the user displayed in the metaverse world from the user terminal corresponding to the user When the box is selected, the processor transmits a verification request for the user to the block chain server, and in response to the verification request from the block chain server, when the verification request is made, the user terminal causes the specific data a process of supporting the display of the current digital content corresponding to the storage box;
and (V) the processor acquires other corresponding location information from other users other than the user, other digital contents for the other corresponding location information, and other embedding location information for embedding other data storage boxes, When accessing the metaverse world using the user terminal corresponding to the user, the current data storage box of the user and the other data storage box of the other user mapped to a predetermined point designated by the user are displayed. A metaverse server that further carries out the process to support you.
12. The method of claim 11, wherein in process (III), (III-11) the processor determines whether a private key corresponding to the user exists; (III-12) If it is determined that the private key corresponding to the user does not exist, the processor provides a UI for authentication to the user terminal corresponding to the user, and identification input through the UI for authentication a process of obtaining information and verifying whether the user is eligible; (III-13) a process in which the processor transmits a unique key issuance request to the block chain server when the user's eligibility is verified, and receives a verification key corresponding to the unique key from the block chain server; (III-14) a process in which the processor obtains the private key by the user terminal with reference to the authentication key, and the processor obtains a public key corresponding to the private key;
(III-15) a process in which the processor encrypts the storage box block using the public key to generate the encrypted storage box block; and (III-16) a metaverse server in which the processor transmits the encrypted storage box block to the block chain server, and performs a process for supporting the block chain server to record the encrypted storage box block.
[13] The method of claim 12, wherein (III-17) when the user's eligibility is verified, the processor maps the current data storage box in the metaverse world with reference to the corresponding location information and the embedding location information. A metaverse server that further performs the recording process.
12. The method of claim 11, wherein in process (III), (III-21) the processor determines whether a private key corresponding to the user exists; (III-22) If it is determined that the private key corresponding to the user exists, the processor encrypts the storage box block using the public key corresponding to the private key to generate the encrypted storage box block process; and (III-23) a metaverse server in which the processor transmits the encrypted storage box block to the block chain server, and performs a process for supporting the block chain server to record the encrypted storage box block.
The method according to claim 14, wherein (III-24), if it is determined that the private key corresponding to the user exists, the processor refers to the corresponding location information and the embedding location information in the metaverse world. A metaverse server that further performs the process of mapping and recording the current data storage box.
15. The method of claim 14, wherein (III-25) it is determined that the private key corresponding to the user exists, and at least one existing data storage box corresponding to the user is mapped to a predetermined point in the metaverse world. If it is determined, the processor additionally maps and records the current data storage box in the metaverse world with reference to the corresponding location information and the embedding location information, and stores the existing data as information about the user A metaverse server, characterized in that the current data storage box is added to the information about the box, updated and stored.
delete
The method of claim 11, wherein in the process (I), the processor supports to set whether to disclose the current digital content corresponding to the current data storage box, and when the current digital content is set to be private, the In a state in which the current data storage box is displayed in the metaverse world, even if the current data storage box is selected, it is characterized in that reading of the current digital content is disabled, and when the current digital content is set to public , a metaverse server, characterized in that, in a state in which the current data storage box is displayed in the metaverse world, when the current data storage box is selected, it is possible to control the viewing of the current digital content.
delete
The method according to claim 11, wherein (VI) when the other data storage box is selected by the user, the processor supports to view the other digital content corresponding to the other data storage box, and the other digital content The metaverse server further performs a process of supporting to provide a UI that can leave the user's impressions in another guestbook corresponding to the .</t>
  </si>
  <si>
    <t>Min, Kyeong Oh|Kim, Hyun Ju</t>
  </si>
  <si>
    <t>G06Q05010000 | G06F02131000 | G06T01900000 | H04L00908000</t>
  </si>
  <si>
    <t>KR102418443B1</t>
  </si>
  <si>
    <t>KR102418443 B1</t>
  </si>
  <si>
    <t>I-000227795942</t>
  </si>
  <si>
    <t>20 years from 2021-10-27 (file date)</t>
  </si>
  <si>
    <t>https://patentscout.innography.com/share/e58HmN3l4gDL_f9i4IeHgQ%3D%3D</t>
  </si>
  <si>
    <t>2022-06-30-DECISION TO GRANT OR REGISTRATION OF PATENT RIGHT|2022-07-04-WRITTEN DECISION TO GRANT</t>
  </si>
  <si>
    <t>https://patentscout.innography.com/share/e58HmN3l4gDL_f9i4IeHgQ%3D%3D/download</t>
  </si>
  <si>
    <t>https://v3.espacenet.com/publicationDetails/biblio?CC=KR&amp;NR=102418443B1&amp;KC=B1&amp;FT=D&amp;date=20220708&amp;DB=EPODOC&amp;locale=</t>
  </si>
  <si>
    <t>KR20102418443 B1</t>
  </si>
  <si>
    <t>1.  A method for implementing a blockchain-based metaverse world, comprising: (a) a metaverse server, corresponding location information for a specific point in the metaverse world, current digital content for the corresponding location information, and a current data storage box embedding location information in which the data storage box is embedded - the corresponding location information represents the GPS location information where the current digital content is generated, and the embedding location information represents location information in the metaverse world in which the current data storage box is embedded, obtaining from a user that the current data storage box includes link information for accessing the current digital content and is provided in a displayed state on the metaverse world with reference to the embedding location information; (b) generating, by the metaverse server, a storage box block including the corresponding location information, the current digital content, and the embedding location information;
and (c) the metaverse server encrypts the storage box block to generate an encrypted storage box block, and transmits the encrypted storage box block to a blockchain server, causing the blockchain server to record the encrypted storage box block a plurality of data including, after step (c), (d) the current data storage box corresponding to the user displayed in the metaverse world from the user terminal corresponding to the user When a specific data storage box is selected from among storage boxes, the metaverse server transmits a verification request for the user to the block chain server, and in response, the block chain server confirms the verification request, supporting the user terminal to display the current digital content corresponding to the specific data storage box;
and (e) the metaverse server acquires other corresponding location information from other users other than the user, other digital contents for the other corresponding location information, and other embedding location information for embedding other data storage boxes. In , when accessing the metaverse world using the user terminal corresponding to the user, the current data storage box of the user and the other data storage box of the other user are mapped to a predetermined point designated by the user The method further comprising the step of assisting to display the</t>
  </si>
  <si>
    <t>7.  delete</t>
  </si>
  <si>
    <t>11.  A metaverse server for implementing a blockchain-based metaverse world, comprising: at least one memory for storing instructions; and at least one processor configured to execute the instructions, wherein the processor comprises: (I) corresponding location information for a specific point in the metaverse world, current digital content for the corresponding location information, and current data Buried location information in which the storage box is embedded - The corresponding location information indicates GPS location information where the current digital content is generated, and the embedded location information includes location information in the metaverse world in which the current data storage box is embedded. a process of obtaining from a user that the current data storage box includes link information for accessing the current digital content and is provided in a displayed state on the metaverse world with reference to the embedding location information;
(II) a process of generating a storage box block including the corresponding location information, the current digital content, and the embedding location information; and (III) encrypting the storage box block to generate an encrypted storage box block and transmitting the encrypted storage box block to a blockchain server, thereby supporting the blockchain server to record the encrypted storage box block. However, after the (III) process, (VI) storing specific data among a plurality of data storage boxes including the current data storage box corresponding to the user displayed in the metaverse world from the user terminal corresponding to the user When the box is selected, the processor transmits a verification request for the user to the block chain server, and in response to the verification request from the block chain server, when the verification request is made, the user terminal causes the specific data a process of supporting the display of the current digital content corresponding to the storage box;
and (V) the processor acquires other corresponding location information from other users other than the user, other digital contents for the other corresponding location information, and other embedding location information for embedding other data storage boxes, When accessing the metaverse world using the user terminal corresponding to the user, the current data storage box of the user and the other data storage box of the other user mapped to a predetermined point designated by the user are displayed. A metaverse server that further carries out the process to support you.</t>
  </si>
  <si>
    <t>17.  delete</t>
  </si>
  <si>
    <t>19.  delete</t>
  </si>
  <si>
    <t>JP2019530932 A | KR102122563 B1 | KR20110054493 A | KR20180080934 A</t>
  </si>
  <si>
    <t>2022-10-27</t>
  </si>
  <si>
    <t>2021-04-23</t>
  </si>
  <si>
    <t>2021-08-11</t>
  </si>
  <si>
    <t>2023-10-23</t>
  </si>
  <si>
    <t>A metaverse system for providing an economic management system to a convergence space in which the real world and a virtual world are converged according to an embodiment of the present invention comprises: a user terminal for executing a metaverse game supporting an avatar configured by a user and a convergence economy service by which an economic activity is performed in a convergence space where a virtual world in which the avatar is active and the real world are converged; and a metaverse game server for providing information accompanying the movement and transaction of the avatar in the convergence space as convergence information obtained through convergence of a virtual world and the real world and providing a metaverse game in which a result according to a transaction action of the avatar is reflected in a convergence economy.</t>
  </si>
  <si>
    <t>Metaverse system for providing economic management system to convergence space in which real world and virtual world are converged</t>
  </si>
  <si>
    <t>virtual world|real world|management system|avatar|reality|game server</t>
  </si>
  <si>
    <t>Lee, Sang Yeol</t>
  </si>
  <si>
    <t>KR2021010693W</t>
  </si>
  <si>
    <t>a user terminal that executes a metaverse game that supports a convergence economy service so that an avatar set by a user and an economic activity are performed in a convergence space in which virtual and reality in which the avatar is active; and a metaverse game in which virtual and real convergence information is provided for the information accompanying the movement and transaction of the avatar in the metaverse game space, and the result of the avatar's transaction is reflected as a convergence economy. metaverse game server;A metaverse system that provides an economic management system in a convergence space where reality and virtuality are fused.</t>
  </si>
  <si>
    <t>a user terminal that executes a metaverse game that supports a convergence economy service so that an avatar set by a user and an economic activity are performed in a convergence space in which virtual and reality in which the avatar is active; and a metaverse game in which virtual and real convergence information is provided for the information accompanying the movement and transaction of the avatar in the metaverse game space, and the result of the avatar's transaction is reflected as a convergence economy. metaverse game server;A metaverse system that provides an economic management system in a convergence space where reality and virtuality are fused.
          According to claim 1, The metaverse game server A drone, a camera, a plurality of IoT devices, an external terminal or an external server from the location of the avatar in the virtual space, time, a real place corresponding to the point of view of the location of the avatar, a real background and a metaverse system that provides an economic operation system in a convergence space where reality and virtuality are fused to collect point-of-view information from real locations.
          The real world according to claim 1, wherein the metaverse game server conducts transactions between avatars for sale, ownership acquisition, sale, and purchase of houses, shopping malls, offices and buildings in which real and virtual are fused in the metaverse game space. To provide an economic management system in a convergence space where reality and virtuality are fused, which is treated to be treated as a real transaction between users in metaverse system.
          According to claim 2, The metaverse game server is the location of the avatar over time, a real place corresponding to the location of the avatar, an image taken from a real background and a real location, a real image and/or a real-time image, the It is applied to the background information of the avatar and the sale, game, and product supported in the metaverse game space, and supports to adjust the movement of the virtual object so that the virtual object is operated by the operation of the real object in the convergence space. A metaverse system that provides an economic management system to the convergence space.
          According to claim 1, The metaverse game server Metaverse providing an economic management system in a convergence space in which reality and virtual reality and virtual reality that reflects sound information and real-time weather information in real photos or images registered in the metaverse game space bus system.
          The method of claim 1, wherein the metaverse game server registers and modifies basic information of profile, contact information, and address (reality), and registers various certificates and certificates by interworking with public institution servers, affiliate servers, business servers and IoT devices. Real and virtual to support services for registering and modifying payment methods by connecting with the payment system server, and registering and deleting own health data by interworking with healthcare devices among healthcare servers and IoT devices A metaverse system that provides an economic management system to the convergence space.
          According to claim 1, The metaverse game server is a block chain or encrypted or NFT-formed ownership file or token is stored, after entering the amount of real and virtual that supports the transfer of ownership to the other party when the sale is completed by registering a property. A metaverse system that provides an economic management system to the convergence space.
          According to claim 1, The metaverse game server, In-app payment, digital currency, cryptocurrency, account transfer through a bank, credit card, VAN, PG, simple payment, and gift certificate as a transaction method made within the metaverse game space. A metaverse system that provides an economic management system in a convergence space where reality and virtuality are fused together with a payment system that supports any one of them.
          According to claim 8, Digital money among the payment means of the payment system, The distribution target and distribution rate are recorded together with the transaction details in the digital currency recording area at the time of payment, and the distribution target is distributed to the distribution target according to the digital currency record in the payment system A metaverse system that provides an economic management system in a convergence space in which real and virtual are fused automatically in which distribution is performed at the above distribution rate.
          The method of claim 9, wherein the payment system records the data accumulation or reserve provided according to the user's activity and payment in the metaverse game and member-registered on/offline affiliated stores, business operators, affiliates, and public institutions, and A metaverse system that provides an economic operation system in a convergence space where reality and virtuality are fused to record and process changes when users use accumulated data or reserves.
          According to claim 1, The metaverse game server, Provides an economic operation system in a convergence space between reality and virtual reality that supports a service for connecting and interworking virtual IoT devices and real IoT devices in the metaverse game metaverse system.
          The method of claim 11 , wherein the metaverse game server registers a character to be replaced with a character of a streaming video provided by the metaverse game, and applies the character to the video character according to a user's request. A metaverse system that provides an economic management system in a convergence space where virtuality is fused.
          According to claim 1, The metaverse game server, Economic operation in a convergence space between reality and virtual reality that supports an experience service to experience accommodations, landmarks, transportation means and extreme sports within the metaverse game space A metaverse system that provides a framework.
          According to claim 13, The metaverse game server, in the case of the mobile means, while the user's avatar moves while providing background information (real photos or images) outside the window, a convergence space between reality and virtual economic management system provided metaverse system.
          The metaverse game server according to claim 1, wherein the metaverse game server is further connected to a health care server, an affiliated store server, a business server, a public institution server, and an affiliate server (hereinafter, a content server), and is linked with the content server to play the metaverse game. A metaverse system that provides an economic management system in a convergence space between reality and virtual reality that provides content reservation and registration, payment, authentication, and recognition, along with content provision.
          The method of claim 15, wherein the user, the business operator, and the affiliate apply an invitation time and admission fee to issue an invitation or register a recommended map in the metaverse game server; A metaverse system that provides an economic management system in a convergence space where reality and virtuality are fused to provide recommended maps.
          The method of claim 15, wherein the metaverse game server registers sales information, provides the sales information to users who have applied for disclosure and subscription, provides a payment method in conjunction with a payment system unit, and registers the relevant details at the time of payment A metaverse system that provides an economic management system in a convergence space where reality and virtual reality are delivered to sellers.
          The method of claim 17 , wherein the metaverse game server supports an e-commerce service for purchasing, paying, and delivering real goods in a store within the metaverse game, and checking a real-time delivery location in the metaverse game when the delivery purchase is made. and a metaverse system that provides an economic operation system in a convergence space of real and virtual that provides information about affiliated stores by identifying the current location of the user terminal.
          The method of claim 18, wherein the metaverse game server provides a payment method and a payment recognition means through the payment system when the user's content in the metaverse game and the member-registered offline merchant, business operator, affiliate, or public institution use the payment. A metaverse system that provides an economic management system in a convergence space where reality and virtuality are fused, providing a program that provides or deducts the user's accumulated data or reserves through the reserve unit.
          The method according to claim 1, wherein the metaverse game server provides a prepaid charging means capable of charging a fee of a real mobile means through a virtual mobile means, and is linked to a user's registered payment means when charging the real mobile means. A metaverse system that provides an economic management system in a convergence space where applied reality and virtual reality are fused.&lt;claim-text /&gt;</t>
  </si>
  <si>
    <t>A63F0013350000</t>
  </si>
  <si>
    <t>A63F0013350000 | A63F0013650000 | A63F0013790000 | G06Q0050100000</t>
  </si>
  <si>
    <t>A63F01365000</t>
  </si>
  <si>
    <t>A63F01365000 | A63F01335000 | A63F01379000 | G06Q05010000</t>
  </si>
  <si>
    <t>WO2022225103A1</t>
  </si>
  <si>
    <t>WO2022225103 A1 | KR102463019 B1 | KR20220146298 A</t>
  </si>
  <si>
    <t>I-000231322554</t>
  </si>
  <si>
    <t>30 months from 2021-04-23 (priority date)</t>
  </si>
  <si>
    <t>https://patentscout.innography.com/share/U3xmD6MJqHB2gh36Ywpn5Q%3D%3D</t>
  </si>
  <si>
    <t>2022-12-07-EP: THE EPO HAS BEEN INFORMED BY WIPO THAT EP WAS DESIGNATED IN THIS APPLICATION</t>
  </si>
  <si>
    <t>https://patentscout.innography.com/share/U3xmD6MJqHB2gh36Ywpn5Q%3D%3D/download</t>
  </si>
  <si>
    <t>https://v3.espacenet.com/publicationDetails/biblio?CC=WO&amp;NR=2022225103A1&amp;KC=A1&amp;FT=D&amp;date=20221027&amp;DB=EPODOC&amp;locale=</t>
  </si>
  <si>
    <t>WO2022195734 A1</t>
  </si>
  <si>
    <t>WO2022225103 A1</t>
  </si>
  <si>
    <t>KR20102463019 B1</t>
  </si>
  <si>
    <t>MAJOR PATENT AND LAW FIRM</t>
  </si>
  <si>
    <t>1.  a user terminal that executes a metaverse game that supports a convergence economy service so that an avatar set by a user and an economic activity are performed in a convergence space in which virtual and reality in which the avatar is active; and a metaverse game in which virtual and real convergence information is provided for the information accompanying the movement and transaction of the avatar in the metaverse game space, and the result of the avatar's transaction is reflected as a convergence economy. metaverse game server;A metaverse system that provides an economic management system in a convergence space where reality and virtuality are fused.</t>
  </si>
  <si>
    <t>2022-11-01</t>
  </si>
  <si>
    <t>2022-11-07</t>
  </si>
  <si>
    <t>2021-07-30</t>
  </si>
  <si>
    <t>2041-07-30</t>
  </si>
  <si>
    <t>According to an embodiment of the present invention the metaverse system which provides an economic operation system in a convergence space where reality and virtuality are fused is an avatar set by a user and economic activity in a fusion space in which the avatar is active in virtual and reality. a user terminal that executes a metaverse game that supports a convergence economy service to be realized; and a metaverse game that provides information accompanying the movement and transaction of the avatar in the convergence space as fusion information in which virtual and reality are fused and the result of the avatar&amp;#39;s transaction is reflected as a convergence economy. Includes a bus game server.</t>
  </si>
  <si>
    <t>Metaverse system that provides an economic operating system to a fusion space where reality and virtualization are fused</t>
  </si>
  <si>
    <t>KR20210100799A</t>
  </si>
  <si>
    <t>a user terminal executing a metaverse game that supports a convergence economy service so that an avatar set by a user and economic activities are performed in a convergence space in which the real space is fused in the virtual space so that the real and virtual in which the avatar is active are fused; and a metaverse game that provides information accompanying the movement of the avatar in the metaverse game space as a fusion space in which reality and virtual reality are fused, and in which the avatar's transaction behavior is reflected as a convergence economy. Bus game server; includes, wherein the metaverse game server is a drone, a camera, a plurality of IoT devices, an external terminal or an external server, an image taken from a real place, a real background, and a real location, a real image and/or a real-time image collects, registers the images and images, applies them to sales, games, and products supported in the metaverse game space, or provides them to the search and sharing service of the user terminal, and the metaverse game server provides home, office, Registers and announces sale information of shopping malls and buildings, provides ownership to at least one of the users who have applied for sale, provides a manager page that can be managed as the owner to the user who has received the sale, and changes data through the manager page apply, Registers and authenticates change data when ownership is transferred to another user, provides interior in the interior space through the manager page, applies interior change data according to the request of the owner terminal, and payment means and payment of the interior A recognition means is provided, and the metaverse game server provides the registered image and image as a convergence space to the user terminal by applying the registered image and image to the received house, office, shopping mall, and building, and sets according to the request of the user terminal In accordance with the movement of one avatar, the background change in the convergence space is reflected, and the metaverse game and contents provided by registered online and offline affiliates, business operators, affiliates, and public institutions are transferred to the fusion space in the metaverse game server. Support the convergence economy service by processing it with the provided payment system (a program that pays with a payment method and payment recognition method, or a program that is deducted from the accumulated data or reserves of the user terminal); The payment system supports any one of in-app payment, digital currency, cryptocurrency, bank account transfer, credit card, VAN, PG, simple payment, and gift certificate as a transaction (payment) method within the metaverse game space. In the digital money of the payment means of the payment system, the distribution target and distribution rate are recorded together with the transaction details in the digital currency record area during payment, and the distribution rate is automatically set to the distribution target according to the digital currency record in the payment system. A metaverse system that provides an economic management system in a convergence space where distribution is made between reality and virtual reality.</t>
  </si>
  <si>
    <t>a user terminal executing a metaverse game that supports a convergence economy service so that an avatar set by a user and economic activities are performed in a convergence space in which the real space is fused in the virtual space so that the real and virtual in which the avatar is active are fused; and a metaverse game that provides information accompanying the movement of the avatar in the metaverse game space as a fusion space in which reality and virtual reality are fused, and in which the avatar's transaction behavior is reflected as a convergence economy. Bus game server; includes, wherein the metaverse game server is a drone, a camera, a plurality of IoT devices, an external terminal or an external server, an image taken from a real place, a real background, and a real location, a real image and/or a real-time image collects, registers the images and images, applies them to sales, games, and products supported in the metaverse game space, or provides them to the search and sharing service of the user terminal, and the metaverse game server provides home, office, Registers and announces sale information of shopping malls and buildings, provides ownership to at least one of the users who have applied for sale, provides a manager page that can be managed as the owner to the user who has received the sale, and changes data through the manager page apply, Registers and authenticates change data when ownership is transferred to another user, provides interior in the interior space through the manager page, applies interior change data according to the request of the owner terminal, and payment means and payment of the interior A recognition means is provided, and the metaverse game server provides the registered image and image as a convergence space to the user terminal by applying the registered image and image to the received house, office, shopping mall, and building, and sets according to the request of the user terminal In accordance with the movement of one avatar, the background change in the convergence space is reflected, and the metaverse game and contents provided by registered online and offline affiliates, business operators, affiliates, and public institutions are transferred to the fusion space in the metaverse game server. Support the convergence economy service by processing it with the provided payment system (a program that pays with a payment method and payment recognition method, or a program that is deducted from the accumulated data or reserves of the user terminal); The payment system supports any one of in-app payment, digital currency, cryptocurrency, bank account transfer, credit card, VAN, PG, simple payment, and gift certificate as a transaction (payment) method within the metaverse game space. In the digital money of the payment means of the payment system, the distribution target and distribution rate are recorded together with the transaction details in the digital currency record area during payment, and the distribution rate is automatically set to the distribution target according to the digital currency record in the payment system. A metaverse system that provides an economic management system in a convergence space where distribution is made between reality and virtual reality.
According to claim 1, wherein the metaverse game server is a drone, a camera, a plurality of IoT devices, an external terminal or an external server from the location and time of the avatar located in the virtual space, a real place corresponding to the point of view of the location of the avatar, and a real background and a metaverse system that provides an economic operation system in a convergence space where reality and virtuality are fused to collect point-of-view information from real locations.
delete
The method of claim 2, wherein the metaverse game server records the location of the avatar according to time, a real place corresponding to the point of view of the location of the avatar, an image taken from a real background and a real location, a real image, and/or a real-time image. A fusion of reality and virtuality, which is applied to the background information of the avatar and the sale, game, and product supported in the metaverse game space, and supports to adjust the movement of the virtual object so that the virtual object is operated by the operation of the real object in the fusion space. A metaverse system that provides an economic management system to the convergence space.
The metaverse game server of claim 1, wherein the metaverse game server provides an economic management system in a convergence space in which real and virtual reality and virtual information are reflected in real photos or images registered in the metaverse game space and real-time weather information. bus system.
The method of claim 1, wherein the metaverse game server registers and modifies basic information of profile, contact information, and address (reality), and registers various certificates and certificates by interworking with public institution servers, affiliate servers, business servers and IoT devices. Real and virtual to support services for registering and modifying payment methods by connecting with the payment system server, and registering and deleting own health data by interworking with healthcare devices among healthcare servers and IoT devices A metaverse system that provides an economic management system to the convergence space.
According to claim 1, wherein the metaverse game server stores a block chain or encrypted or NFT-encrypted ownership file or token, and after entering an amount, register for sale and transfer ownership to the other party when the sale is completed. A metaverse system that provides an economic management system to the convergence space.
delete
delete
The method of claim 1, wherein the payment system records data accumulation or reserves provided according to the user's activity and payment in the metaverse game and member-registered online/offline affiliated stores, operators, affiliates, and public institutions, and A metaverse system that provides an economic operation system in a convergence space where reality and virtuality are fused to record and process changes when users use accumulated data or reserves.
The economic operation system according to claim 1, wherein the metaverse game server provides an economic operation system in a convergence space between reality and virtual reality that supports services for connecting and interworking virtual IoT devices and real IoT devices in the metaverse game. metaverse system.
The method of claim 11, wherein the metaverse game server registers characters to be replaced with characters of the streaming video provided by the metaverse game, and applies the characters to the video characters according to a user's request. A metaverse system that provides an economic management system in the convergence space of virtual reality.
The economic operation of claim 1, wherein the metaverse game server supports an experience service for experiencing accommodations, landmarks, transportation means, and extreme sports within the metaverse game space. A metaverse system that provides a framework.
14. The method of claim 13, wherein, in the case of the mobile means, the metaverse game server provides an economic management system in a convergence space of real and virtual that provides background information (real photos or images) outside the window while the user's avatar is moving. provided metaverse system.
The metaverse game server according to claim 1, wherein the metaverse game server is further connected to a health care server, an affiliated store server, a business server, a public institution server, and an affiliate server (hereinafter, a content server), and is linked with the content server to play the metaverse game A metaverse system that provides an economic management system in a convergence space of reality and virtual reality that provides content reservation and registration, payment, authentication, and recognition along with content provision.
The method of claim 15, wherein the user, the business operator, and the affiliate apply an invitation time and admission fee to issue an invitation or register a recommended map in the metaverse game server, and register invitations or random users in the metaverse game server A metaverse system that provides an economic management system in a convergence space where reality and virtuality are fused to provide recommended maps.
The method of claim 15, wherein the metaverse game server registers sales information, provides the sales information to users who have applied for disclosure and subscription, provides a payment method in conjunction with a payment system unit, and registers the relevant details at the time of payment A metaverse system that provides an economic management system in a convergence space where reality and virtual reality are delivered to sellers.
18. The method of claim 17, wherein the metaverse game server supports an e-commerce service for purchasing, paying, and delivering a real product in a store within the metaverse game, and confirms a real-time delivery location in the metaverse game when the delivery purchase is made. and a metaverse system that provides an economic operation system in a convergence space of real and virtual that provides information about affiliated stores by identifying the current location of the user terminal.
19. The method of claim 18, wherein the metaverse game server provides a payment method and a payment recognition means through the payment system when using the user's content in the metaverse game and payment at an offline merchant, business operator, affiliate, or public institution registered as a member. A metaverse system that provides an economic management system in a convergence space where reality and virtuality are fused, providing a program that provides or deducts the user's accumulated data or reserves through the reserve unit.
delete</t>
  </si>
  <si>
    <t>KR20220146298 A</t>
  </si>
  <si>
    <t>A63F0013650000</t>
  </si>
  <si>
    <t>A63F0013650000 | A63F0013350000 | A63F0013790000 | A63F2300690000 | A63F2300808200 | G06Q0050100000</t>
  </si>
  <si>
    <t>KR102463019B1|KR20220146298A</t>
  </si>
  <si>
    <t>I-000232497896</t>
  </si>
  <si>
    <t>20 years from 2021-07-30 (file date)</t>
  </si>
  <si>
    <t>https://patentscout.innography.com/share/3XiMlJQoRvZ2bEvh8081pg%3D%3D</t>
  </si>
  <si>
    <t>2022-10-28-DECISION TO GRANT OR REGISTRATION OF PATENT RIGHT|2022-10-31-WRITTEN DECISION TO GRANT</t>
  </si>
  <si>
    <t>https://patentscout.innography.com/share/3XiMlJQoRvZ2bEvh8081pg%3D%3D/download</t>
  </si>
  <si>
    <t>https://v3.espacenet.com/publicationDetails/biblio?CC=KR&amp;NR=102463019B1&amp;KC=B1&amp;FT=D&amp;date=20221107&amp;DB=EPODOC&amp;locale=</t>
  </si>
  <si>
    <t>1.  a user terminal executing a metaverse game that supports a convergence economy service so that an avatar set by a user and economic activities are performed in a convergence space in which the real space is fused in the virtual space so that the real and virtual in which the avatar is active are fused; and a metaverse game that provides information accompanying the movement of the avatar in the metaverse game space as a fusion space in which reality and virtual reality are fused, and in which the avatar's transaction behavior is reflected as a convergence economy. Bus game server; includes, wherein the metaverse game server is a drone, a camera, a plurality of IoT devices, an external terminal or an external server, an image taken from a real place, a real background, and a real location, a real image and/or a real-time image collects, registers the images and images, applies them to sales, games, and products supported in the metaverse game space, or provides them to the search and sharing service of the user terminal, and the metaverse game server provides home, office, Registers and announces sale information of shopping malls and buildings, provides ownership to at least one of the users who have applied for sale, provides a manager page that can be managed as the owner to the user who has received the sale, and changes data through the manager page apply, Registers and authenticates change data when ownership is transferred to another user, provides interior in the interior space through the manager page, applies interior change data according to the request of the owner terminal, and payment means and payment of the interior A recognition means is provided, and the metaverse game server provides the registered image and image as a convergence space to the user terminal by applying the registered image and image to the received house, office, shopping mall, and building, and sets according to the request of the user terminal In accordance with the movement of one avatar, the background change in the convergence space is reflected, and the metaverse game and contents provided by registered online and offline affiliates, business operators, affiliates, and public institutions are transferred to the fusion space in the metaverse game server. Support the convergence economy service by processing it with the provided payment system (a program that pays with a payment method and payment recognition method, or a program that is deducted from the accumulated data or reserves of the user terminal); The payment system supports any one of in-app payment, digital currency, cryptocurrency, bank account transfer, credit card, VAN, PG, simple payment, and gift certificate as a transaction (payment) method within the metaverse game space. In the digital money of the payment means of the payment system, the distribution target and distribution rate are recorded together with the transaction details in the digital currency record area during payment, and the distribution rate is automatically set to the distribution target according to the digital currency record in the payment system. A metaverse system that provides an economic management system in a convergence space where distribution is made between reality and virtual reality.</t>
  </si>
  <si>
    <t>20.  delete</t>
  </si>
  <si>
    <t>KR20130068593 A | JP2019530932 A | KR20110054493 A | KR20180080934 A</t>
  </si>
  <si>
    <t>a user terminal that executes a metaverse game that supports a convergence economy service so that an avatar set by a user and economic activities are performed in a convergence space in which virtual and reality are fused; and a metaverse game in which virtual and real convergence information is provided for the information accompanying the movement and transaction of the avatar in the metaverse game space, and the result of the avatar's transaction is reflected as a convergence economy. metaverse game server;A metaverse system that provides an economic management system in a convergence space where reality and virtuality are fused.</t>
  </si>
  <si>
    <t>a user terminal that executes a metaverse game that supports a convergence economy service so that an avatar set by a user and economic activities are performed in a convergence space in which virtual and reality are fused; and a metaverse game in which virtual and real convergence information is provided for the information accompanying the movement and transaction of the avatar in the metaverse game space, and the result of the avatar's transaction is reflected as a convergence economy. metaverse game server;A metaverse system that provides an economic management system in a convergence space where reality and virtuality are fused.
According to claim 1, wherein the metaverse game server is a drone, a camera, a plurality of IoT devices, an external terminal or an external server from the location and time of the avatar located in the virtual space, a real place corresponding to the point of view of the location of the avatar, and a real background and a metaverse system that provides an economic operation system in a convergence space where reality and virtuality are fused to collect point-of-view information from real locations.
The real world of claim 1, wherein the metaverse game server conducts transactions between avatars for sale, ownership acquisition, sale, and purchase of houses, shopping malls, offices, and buildings where real and virtual are fused in the metaverse game space. To provide an economic management system in a convergence space where reality and virtuality are fused, which is treated as a real transaction between users in metaverse system.
The method of claim 2, wherein the metaverse game server records the location of the avatar according to time, a real place corresponding to the point of view of the location of the avatar, an image taken from a real background and a real location, a real image, and/or a real-time image. A fusion of reality and virtuality, which is applied to the background information of the avatar and the sale, game, and product supported in the metaverse game space, and supports to adjust the movement of the virtual object so that the virtual object is operated by the operation of the real object in the fusion space. A metaverse system that provides an economic management system to the convergence space.
The metaverse game server of claim 1, wherein the metaverse game server provides an economic management system in a convergence space in which real and virtual reality and virtual information are reflected in real photos or images registered in the metaverse game space and real-time weather information. bus system.
The method of claim 1, wherein the metaverse game server registers and modifies basic information of profile, contact information, and address (reality), and registers various certificates and certificates by interworking with public institution servers, affiliate servers, business servers and IoT devices. Real and virtual to support services for registering and modifying payment methods by connecting with the payment system server, and registering and deleting own health data by interworking with healthcare devices among healthcare servers and IoT devices A metaverse system that provides an economic management system to the convergence space.
According to claim 1, wherein the metaverse game server stores a block chain or encrypted or NFT-encrypted ownership file or token, and after entering an amount, register for sale and transfer ownership to the other party when the sale is completed. A metaverse system that provides an economic management system to the convergence space.
The method according to claim 1, wherein the metaverse game server is a transaction method within the metaverse game space, such as in-app payment, digital currency, cryptocurrency, bank transfer, credit card, VAN, PG, simple payment, and gift certificate. A metaverse system that provides an economic management system in a convergence space where reality and virtuality are fused together with a payment system that supports any one of them.
The method of claim 8, wherein, in the digital currency among the payment means of the payment system, a distribution target and a distribution rate are recorded together with transaction details in a digital currency recording area at the time of payment, and the distribution target is provided to the distribution target according to the digital currency record in the payment system. A metaverse system that provides an economic management system in a convergence space in which real and virtual are fused, where automatic distribution is made at the distribution rate.
10. The method of claim 9, wherein the payment system records the data accumulation or reserve provided according to the user's activity and payment in the metaverse game and member-registered online/offline affiliated stores, operators, affiliates, and public institutions, and A metaverse system that provides an economic operation system in a convergence space where reality and virtuality are fused to record and process changes when users use accumulated data or reserves.
The economic operation system according to claim 1, wherein the metaverse game server provides an economic operation system in a convergence space between reality and virtual reality that supports services for connecting and interworking virtual IoT devices and real IoT devices in the metaverse game. metaverse system.
The method of claim 11, wherein the metaverse game server registers characters to be replaced with characters of the streaming video provided by the metaverse game, and applies the characters to the video characters according to a user's request. A metaverse system that provides an economic management system in the convergence space of virtual reality.
The economic operation of claim 1, wherein the metaverse game server supports an experience service for experiencing accommodations, landmarks, transportation means, and extreme sports within the metaverse game space. A metaverse system that provides a framework.
14. The method of claim 13, wherein, in the case of the mobile means, the metaverse game server provides an economic management system in a convergence space of real and virtual that provides background information (real photos or images) outside the window while the user's avatar is moving. provided metaverse system.
The metaverse game server according to claim 1, wherein the metaverse game server is further connected to a health care server, an affiliated store server, a business server, a public institution server, and an affiliate server (hereinafter, a content server), and is linked with the content server to play the metaverse game A metaverse system that provides an economic management system in a convergence space of reality and virtual reality that provides content reservation and registration, payment, authentication, and recognition along with content provision.
The method of claim 15, wherein the user, the business operator, and the affiliate apply an invitation time and admission fee to issue an invitation or register a recommended map in the metaverse game server, and register invitations or random users in the metaverse game server A metaverse system that provides an economic management system in a convergence space where reality and virtuality are fused to provide recommended maps.
The method of claim 15, wherein the metaverse game server registers sales information, provides the sales information to users who have applied for disclosure and subscription, provides a payment method in conjunction with a payment system unit, and registers the relevant details at the time of payment A metaverse system that provides an economic management system in a convergence space where reality and virtual reality are delivered to sellers.
18. The method of claim 17, wherein the metaverse game server supports an e-commerce service for purchasing, paying, and delivering a real product in a store within the metaverse game, and confirms a real-time delivery location in the metaverse game when the delivery purchase is made. and a metaverse system that provides an economic operation system in a convergence space of real and virtual that provides information about affiliated stores by identifying the current location of the user terminal.
19. The method of claim 18, wherein the metaverse game server provides a payment method and a payment recognition means through the payment system when using the user's content in the metaverse game and payment at an offline merchant, business operator, affiliate, or public institution registered as a member. A metaverse system that provides an economic management system in a convergence space where reality and virtuality are fused, providing a program that provides or deducts the user's accumulated data or reserves through the reserve unit.
The method according to claim 1, wherein the metaverse game server provides a prepaid charging means capable of charging a fee of a real mobile means through a virtual mobile means, and is linked to a user's registered payment means when charging the real mobile means. A metaverse system that provides an economic management system in a convergence space where applied reality and virtual reality are fused</t>
  </si>
  <si>
    <t>KR102463019 B1</t>
  </si>
  <si>
    <t>https://patentscout.innography.com/share/LNxPhVi02R3_FeVSFYF88A%3D%3D</t>
  </si>
  <si>
    <t>https://patentscout.innography.com/share/LNxPhVi02R3_FeVSFYF88A%3D%3D/download</t>
  </si>
  <si>
    <t>https://v3.espacenet.com/publicationDetails/biblio?CC=KR&amp;NR=20220146298A&amp;KC=A&amp;FT=D&amp;date=20221101&amp;DB=EPODOC&amp;locale=</t>
  </si>
  <si>
    <t>1.  a user terminal that executes a metaverse game that supports a convergence economy service so that an avatar set by a user and economic activities are performed in a convergence space in which virtual and reality are fused; and a metaverse game in which virtual and real convergence information is provided for the information accompanying the movement and transaction of the avatar in the metaverse game space, and the result of the avatar's transaction is reflected as a convergence economy. metaverse game server;A metaverse system that provides an economic management system in a convergence space where reality and virtuality are fused.</t>
  </si>
  <si>
    <t>JP2001249876 A | JP2002525753 A | US5546557 A | US5802296 A | US6175842 B1 | US6785708 B1 | US20030065721 A1 | US20040210634 A1 | US20050055306 A1 | US20050164795 A1 | US20050221880 A1 | US20060135237 A1 | US20070207860 A1</t>
  </si>
  <si>
    <t>2015-03-24</t>
  </si>
  <si>
    <t>2031-02-08</t>
  </si>
  <si>
    <t>A metaverse system and method for allowing a user to control a group of avatars in a metaverse application. The metaverse system includes a client computer a metaverse server and a group link engine. The metaverse server hosts a metaverse application over a network. The client computer interfaces with the metaverse application. The group link engine opens a group link connection. A linked group associated with the group link connection includes at least two linked users. At least one user is designated as a leader of the linked group. The group link engine includes a group link controller to allow the leader to control an action of an avatar of at least one other user.</t>
  </si>
  <si>
    <t>System and method for group control in a metaverse application</t>
  </si>
  <si>
    <t>US11/971575</t>
  </si>
  <si>
    <t xml:space="preserve">A computer program product comprising a computer useable storage device to store a computer readable program that, when executed on a processor within a computer, causes the computer to perform operations comprising:
open a group link connection in response to a request from a user to open the group link connection, wherein the user is designated as a leader of a linked group associated with the group link connection, wherein the linked group comprises a plurality of linked users;
control a first action of an avatar associated with the user in response to an input command by the user; and
control a second action of a second avatar of a second user of the linked group in response to the input command by the user, wherein the second action of the second avatar mimics the first action, wherein the second action of the second avatar can be viewed separately from the first action of the avatar associated with the user designated as the leader.
</t>
  </si>
  <si>
    <t>1. A computer program product comprising a computer useable storage device to store a computer readable program that, when executed on a processor within a computer, causes the computer to perform operations comprising:
open a group link connection in response to a request from a user to open the group link connection, wherein the user is designated as a leader of a linked group associated with the group link connection, wherein the linked group comprises a plurality of linked users;
control a first action of an avatar associated with the user in response to an input command by the user; and
control a second action of a second avatar of a second user of the linked group in response to the input command by the user, wherein the second action of the second avatar mimics the first action, wherein the second action of the second avatar can be viewed separately from the first action of the avatar associated with the user designated as the leader.
2. The computer program product of claim 1, wherein the computer readable program, when executed on the computer, causes the computer to perform operations to send a group link invitation from the leader of the linked group to the second user to join the linked group.
3. The computer program product of claim 2, wherein the computer readable program, when executed on the computer, causes the computer to perform operations to link the second user to the group link connection in response to an acceptance by the second user of the group link invitation to join the linked group.
4. The computer program product of claim 3, wherein the computer readable program, when executed on the computer, causes the computer to perform operations to set a group link invitation expiration to limit an acceptance period of the group link invitation.
5. The computer program product of claim 4, wherein the computer readable program, when executed on the computer, causes the computer to perform operations to set a maximum group size limit to maintain a limit on a maximum number of users allowed to join the linked group.
6. The computer program product of claim 4, wherein the computer readable program, when executed on the computer, causes the computer to perform operations to control a group movement in response to the input command by the user, wherein the group movement comprises a verified teleport, wherein the avatar associated with the leader teleports to a new location apart from the remainder of the linked group, and the remainder of the linked group teleports to the new location in response to a verification by the leader to travel to the new location.
7. The computer program product of claim 4, wherein the computer readable program, when executed on the computer, causes the computer to perform operations to control a group movement in response to the input command by the user, wherein the group movement comprises a delayed teleport, wherein the avatar associated with the leader teleports to a new location apart from a remainder of the linked group, and after a predetermined delay, the remainder of the linked group is then teleported to the new location.
8. The computer program product of claim 1, wherein the computer readable program, when executed on the computer, causes the computer to perform operations to configure a group link connection profile, the group link connection profile comprising a list of the plurality of linked users of the linked group.
9. The computer program product of claim 1, wherein the computer readable program, when executed on the computer, causes the computer to perform operations to control the second avatar of the second user to avoid an obstacle in the path of the second avatar of the second user.
10. A metaverse system comprising:
a client computer coupled to a network;
a metaverse server coupled to the client computer, the metaverse server to host a metaverse application;
a group link engine coupled to the metaverse server, the group link engine to open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the group link engine comprising:
a group link controller to allow the user designated as the leader to control a first action of an avatar associated with the leader through an input command and to allow the user designated as the leader to control a second action of a second avatar of a second user, wherein the second action mimics the first action, wherein the action of the second avatar can be viewed separately from the avatar associated with the user designated as the leader.
11. The metaverse system of claim 10, the group link engine further comprising a group link configuration engine coupled to the group link controller, the group link configuration engine to send a group link invitation to the second user to join the linked group.
12. The metaverse system of claim 11, wherein the group link controller is further configured to control a group movement in response to an input command by the leader of the linked group, wherein the group movement comprises a delayed teleport, wherein a leader teleports to a new location apart from a remainder of the linked group, and after a predetermined delay, the remainder of the linked group is then teleported to the new location and wherein the group link controller stores a plurality of group movements on a storage device in response to a request from a user in a linked group to save the plurality of group movements.
13. The metaverse system of claim 12, wherein the group link configuration engine terminates the group link invitation in response to a user's rejection of the group link invitation.
14. The metaverse system of claim 13, the group link configuration engine is further configured to disconnect temporarily a linked user from the group link connection and reconnect the linked user, that temporarily disconnected from the group link connection, to the linked group.
15. The metaverse system of claim 10, the group link controller further configured to control a group movement in response to an input command by one of the users designated as the leader of the linked group, wherein the group movement comprises:
a cascaded group movement, wherein a user in the linked group is ranked in a predetermined order to allow a movement initiated by the one of the users designated as the leader to be performed by the avatar of the one of the users designated as the leader first, and then after a predetermined delay, the user performs that movement according to the rank of the user in the linked group;
a delayed teleport, wherein one of the users designated as the leader teleports to a new location apart from a remainder of the linked group, and after a predetermined delay, the remainder of the linked group is then teleported to the new location; or
a verified teleport, wherein one of the users designated as the leader teleports to a new location apart from the remainder of the linked group, and the remainder of the linked group teleports to the new location in response to a verification by the one of the users designated as the leader to travel to the new location.
16. The metaverse system of claim 15, wherein the group link controller stores a plurality of group movements on a storage device in response to a request from a user in a linked group to save the plurality of group movements.
17. The metaverse system of claim 10, wherein the group link controller allows the second user to decline the action that one of the users designated as the leader initiates to control the avatar of the second user.
18. A method comprising:
opening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and
controlling a first action of an avatar associated with the user designated as the leader in response to an input command by the user designated as the leader of the linked group;
controlling a second action of a second avatar of a second user of the linked group in response to the input command by the user, wherein the second action of the second avatar mimics the first action, wherein the second action of the second avatar can be viewed separately from the first action of the avatar associated with the user designated as the leader.
19. The method of claim 18, further comprising:
sending a group link invitation to another user to join the linked group;
linking the other user to the group link connection in response to the other user accepting the group link invitation to join the linked group; and
saving a group link connection profile.
20. The method of claim 18, further comprising:
disconnecting at least temporarily a linked user from the group link connection; and
reconnecting the linked user, that temporarily disconnected from the group link connection, to the linked group.
21. The method of claim 18, further comprising:
requesting a transfer of the designation of the user as the leader of the group link connection; and
transferring the designation of at least one of the users designated as the leader of the group link connection to another user of the group link connection.
22. A metaverse group link system comprising:
a leader client computer coupled to a network, the leader client computer to send a request to open a group link connection;
a leader display device to display a leader metaverse client viewer;
a group link engine coupled to a metaverse application, the group link engine to open the group link connection in response to the request to open the group link connection, wherein a user on the leader client computer is designated as a leader of a linked group associated with the group link connection;
a leader group link interface coupled to the leader client computer, the leader group link interface to facilitate configuring a group link connection profile and to send a group link invitation to another user to join the linked group;
a follower client computer coupled to the network, the follower client computer to receive the group link invitation;
a follower display device to display a follower metaverse client viewer; and
a follower group link interface coupled to the metaverse application, the follower group link interface to facilitate the other user to accept the group link invitation and to join the linked group, wherein the other user that is associated with the follower client computer is designated as a follower of the linked group associated with the group link connection, wherein the leader controls a first action of an avatar associated with the user designated at the leader and a second action of an avatar of the follower, wherein the leader control is via a leader client computer interface coupled to the leader client computer, wherein the second action of the avatar of the follower can be viewed separately from the action of an avatar associated with the user designated as the leader.
23. The metaverse group link system of claim 22, wherein the follower of the linked group associated with the group link connection is designated as a new leader of the linked group associated with the group link connection in response to a transfer of the designation of the leader of the linked group associated with the group link connection.
24. The metaverse group link system of claim 22, wherein the follower of the group link connection at least temporarily disconnects from the group link connection and subsequently rejoins the linked group prior to expiration of the group link invitation and in response to a determination that a size of the group link connection is less than a maximum group size limit of the group link connection.
25. An apparatus, comprising:
means for establishing a linked group of metaverse users, each metaverse user associated with an avatar of a metaverse application, wherein one of the metaverse users is designated as a leader of the linked group; and
means for controlling a first action of an avatar associated with the metaverse user designated as the leader of the linked group in response to an input command by the metaverse user designated as the leader of the linked group of metaverse users;
means for controlling a second action of a second avatar of a second user of the linked group in response to the input command by the user, wherein the second action of the second avatar mimics the first action, wherein the second action can be viewed separately from the first action of the avatar associated with the metaverse user designated as the leader.</t>
  </si>
  <si>
    <t>Jones, Angela Richards|Lyle, Ruthie D.|Mallempatl, Vandana</t>
  </si>
  <si>
    <t>US20090177977 A1</t>
  </si>
  <si>
    <t>H04L0041220000</t>
  </si>
  <si>
    <t>H04L0041220000 | G06N0003006000 | H04L0065403000</t>
  </si>
  <si>
    <t>G06F00304800 | G06N00300000</t>
  </si>
  <si>
    <t>715753000|715757000</t>
  </si>
  <si>
    <t>US20090177977A1|CN101482900A|JP2009163745A|US8990707B2|US20150128062A1|JP5731101B2|US10326667B2</t>
  </si>
  <si>
    <t>US14/594892</t>
  </si>
  <si>
    <t>US20090177977 A1 | CN101482900 A | JP2009163745 A | US8990707 B2 | US20150128062 A1 | JP5731101 B2 | US10326667 B2</t>
  </si>
  <si>
    <t>I-000075188433</t>
  </si>
  <si>
    <t>20 years from 2008-01-09 (file date) plus a term adjustment of 1126 days</t>
  </si>
  <si>
    <t>https://patentscout.innography.com/share/QdIy7KE2g_J_X5HOUlY3lg%3D%3D</t>
  </si>
  <si>
    <t>2008-01-02-ASSIGNMENT (INTERNATIONAL BUSINESS MACHINES CORPORATION)|2015-03-04-INFORMATION ON STATUS: PATENT GRANT|2018-07-16-MAINTENANCE FEE PAYMENT|2022-07-17-MAINTENANCE FEE PAYMENT</t>
  </si>
  <si>
    <t>https://patentscout.innography.com/share/QdIy7KE2g_J_X5HOUlY3lg%3D%3D/download</t>
  </si>
  <si>
    <t>https://ppubs.uspto.gov/pubwebapp/external.html?q=8990707.pn.</t>
  </si>
  <si>
    <t>102 | (not available) | CTFR
102 | (not available) | CTNF
102 | (not available) | CTNF</t>
  </si>
  <si>
    <t>103 | US08/741470 | CTFR
103 | US08/888139 | CTFR
103 | US10/134437 | CTNF
103 | US10/134437 | CTFR
103 | US10/134437 | CTNF
103 | US10/134437 | CTFR
103 | US10/226224 | CTFR
103 | US10/226224 | CTFR
103 | US10/226224 | CTNF
103 | US10/226224 | CTNF
103 | US10/968133 | CTFR
103 | US10/968133 | CTNF
103 | US10/968133 | CTFR
103 | US10/968133 | CTNF
103 | US11/082452 | CTFR
103 | US11/082452 | CTNF
103 | US11/082452 | CTNF
103 | US11/089334 | CTFR
103 | US11/089334 | CTNF
103 | US11/089334 | CTNF
103 | US11/313130 | CTFR
103 | US11/313130 | CTNF
103 | US11/313130 | CTFR
103 | US11/313130 | CTNF</t>
  </si>
  <si>
    <t>(not available)
(not available)
(not available)</t>
  </si>
  <si>
    <t>Intellectual Ventures Management, LLC
AT&amp;T Inc.
META PLATFORMS, INC.
META PLATFORMS, INC.
META PLATFORMS, INC.
META PLATFORMS, INC.
Unassigned
Unassigned
Unassigned
Unassigned
SAIC, Inc.
SAIC, Inc.
SAIC, Inc.
SAIC, Inc.
Microsoft Corporation
Microsoft Corporation
Microsoft Corporation
Nintendo Co., Ltd
Nintendo Co., Ltd
Nintendo Co., Ltd
Kabushikikaisah Koei
Kabushikikaisah Koei
Kabushikikaisah Koei
Kabushikikaisah Koei</t>
  </si>
  <si>
    <t>2014-06-19</t>
  </si>
  <si>
    <t>2013-12-04</t>
  </si>
  <si>
    <t>1. A computer program product comprising a computer useable storage device to store a computer readable program that, when executed on a processor within a computer, causes the computer to perform operations comprising:
open a group link connection in response to a request from a user to open the group link connection, wherein the user is designated as a leader of a linked group associated with the group link connection, wherein the linked group comprises a plurality of linked users;
control a first action of an avatar associated with the user in response to an input command by the user; and
control a second action of a second avatar of a second user of the linked group in response to the input command by the user, wherein the second action of the second avatar mimics the first action, wherein the second action of the second avatar can be viewed separately from the first action of the avatar associated with the user designated as the leader.</t>
  </si>
  <si>
    <t>10. A metaverse system comprising:
a client computer coupled to a network;
a metaverse server coupled to the client computer, the metaverse server to host a metaverse application;
a group link engine coupled to the metaverse server, the group link engine to open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the group link engine comprising:
a group link controller to allow the user designated as the leader to control a first action of an avatar associated with the leader through an input command and to allow the user designated as the leader to control a second action of a second avatar of a second user, wherein the second action mimics the first action, wherein the action of the second avatar can be viewed separately from the avatar associated with the user designated as the leader.</t>
  </si>
  <si>
    <t>18. A method comprising:
opening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and
controlling a first action of an avatar associated with the user designated as the leader in response to an input command by the user designated as the leader of the linked group;
controlling a second action of a second avatar of a second user of the linked group in response to the input command by the user, wherein the second action of the second avatar mimics the first action, wherein the second action of the second avatar can be viewed separately from the first action of the avatar associated with the user designated as the leader.</t>
  </si>
  <si>
    <t>22. A metaverse group link system comprising:
a leader client computer coupled to a network, the leader client computer to send a request to open a group link connection;
a leader display device to display a leader metaverse client viewer;
a group link engine coupled to a metaverse application, the group link engine to open the group link connection in response to the request to open the group link connection, wherein a user on the leader client computer is designated as a leader of a linked group associated with the group link connection;
a leader group link interface coupled to the leader client computer, the leader group link interface to facilitate configuring a group link connection profile and to send a group link invitation to another user to join the linked group;
a follower client computer coupled to the network, the follower client computer to receive the group link invitation;
a follower display device to display a follower metaverse client viewer; and
a follower group link interface coupled to the metaverse application, the follower group link interface to facilitate the other user to accept the group link invitation and to join the linked group, wherein the other user that is associated with the follower client computer is designated as a follower of the linked group associated with the group link connection, wherein the leader controls a first action of an avatar associated with the user designated at the leader and a second action of an avatar of the follower, wherein the leader control is via a leader client computer interface coupled to the leader client computer, wherein the second action of the avatar of the follower can be viewed separately from the action of an avatar associated with the user designated as the leader.</t>
  </si>
  <si>
    <t>25. An apparatus, comprising:
means for establishing a linked group of metaverse users, each metaverse user associated with an avatar of a metaverse application, wherein one of the metaverse users is designated as a leader of the linked group; and
means for controlling a first action of an avatar associated with the metaverse user designated as the leader of the linked group in response to an input command by the metaverse user designated as the leader of the linked group of metaverse users;
means for controlling a second action of a second avatar of a second user of the linked group in response to the input command by the user, wherein the second action of the second avatar mimics the first action, wherein the second action can be viewed separately from the first action of the avatar associated with the metaverse user designated as the leader.</t>
  </si>
  <si>
    <t>KR20050025042 A | KR20140056640 A</t>
  </si>
  <si>
    <t>2021-08-31</t>
  </si>
  <si>
    <t>2021-04-08</t>
  </si>
  <si>
    <t>2021-05-25</t>
  </si>
  <si>
    <t>2041-05-25</t>
  </si>
  <si>
    <t>Disclosed are a metaverse service operating server for operating a metaverse service that changes an interface design constituting a metaverse environment based on a payment history and a method of operating the same. The present invention collects payment history information at a plurality of preset merchants of a user who has subscribed to the metaverse service and calculates the first number of payments for each of the user&amp;#39;s preset n shopping categories at each preset first cycle. and when it is confirmed that the first number of payments for the first shopping category among the n shopping categories exceeds the threshold number of payments corresponding to the first shopping category the interface design corresponding to the first shopping category is changed It is about a technology for changing the interface design constituting the user&amp;#39;s metaverse environment according to information.</t>
  </si>
  <si>
    <t>Metaverse service management server for managing the metaverse service to change interface design of metaverse environment based on payment record, and the operating method thereof</t>
  </si>
  <si>
    <t>service management|management server|interface design|threshold number|subscribed|digital item|reward</t>
  </si>
  <si>
    <t>Morphing I Inc.</t>
  </si>
  <si>
    <t>MORPHING I INC.</t>
  </si>
  <si>
    <t>KR20210067072A</t>
  </si>
  <si>
    <t>In a metaverse service operation server for operating a metaverse service that changes an interface design constituting a metaverse environment based on a payment history, n (n is a natural number equal to or greater than 2) preset shopping categories a shopping category information storage unit in which information about the information is stored; an affiliated store information storage unit storing information on a plurality of pre-designated affiliated stores, each of which is assigned a shopping category among the n shopping categories; Pre-set interface design change information corresponding to each of the n shopping categories - The interface design change information means information defining how to change the interface design constituting the metaverse environment - and the n shopping categories a change information storage unit in which a preset threshold number of payment corresponding to each is stored;a payment history information collecting unit that collects payment history information from each of the plurality of affiliated stores of the user subscribed to the metaverse service and stores it in a payment history database;a change decision event generator for generating a change decision event for determining whether to change an interface design constituting the metaverse environment of the user at every preset first cycle; When the change decision event occurs, payment history information at each of the plurality of affiliated stores of the user stored in the payment history database is checked, and the change decision event occurs during the first period. a first payment number checking unit for checking the first number of payments for each of the n shopping categories of the user by dividing and counting the number of payments by the user at each of the plurality of affiliated stores for each shopping category; an excess checking unit for checking whether the first number of payments for each of the n shopping categories exceeds a threshold number of payments corresponding to each shopping category with reference to the change information storage unit;and if it is determined that the first number of payments for a first shopping category, which is one of the n shopping categories, exceeds a threshold number of payments corresponding to the first shopping category, referring to the change information storage unit, the first and a change processing unit for changing an interface design constituting the metaverse environment of the user according to interface design change information corresponding to a shopping category.</t>
  </si>
  <si>
    <t>In a metaverse service operation server for operating a metaverse service that changes an interface design constituting a metaverse environment based on a payment history, n (n is a natural number equal to or greater than 2) preset shopping categories a shopping category information storage unit in which information about the information is stored; an affiliated store information storage unit storing information on a plurality of pre-designated affiliated stores, each of which is assigned a shopping category among the n shopping categories; Pre-set interface design change information corresponding to each of the n shopping categories - The interface design change information means information defining how to change the interface design constituting the metaverse environment - and the n shopping categories a change information storage unit in which a preset threshold number of payment corresponding to each is stored;
a payment history information collecting unit that collects payment history information from each of the plurality of affiliated stores of the user subscribed to the metaverse service and stores it in a payment history database;a change decision event generator for generating a change decision event for determining whether to change an interface design constituting the metaverse environment of the user at every preset first cycle; When the change decision event occurs, payment history information at each of the plurality of affiliated stores of the user stored in the payment history database is checked, and the change decision event occurs during the first period. a first payment number checking unit for checking the first number of payments for each of the n shopping categories of the user by dividing and counting the number of payments by the user at each of the plurality of affiliated stores for each shopping category; an excess checking unit for checking whether the first number of payments for each of the n shopping categories exceeds a threshold number of payments corresponding to each shopping category with reference to the change information storage unit;
and if it is determined that the first number of payments for a first shopping category, which is one of the n shopping categories, exceeds a threshold number of payments corresponding to the first shopping category, referring to the change information storage unit, the first and a change processing unit for changing an interface design constituting the metaverse environment of the user according to interface design change information corresponding to a shopping category.
The method of claim 1 , wherein, after the interface design constituting the metaverse environment of the user is changed, when an access request for the metaverse service is received from the user's electronic terminal, and is connected to the user's electronic terminal, the After generating graphic data for expressing an interface design constituting the user's changed metaverse environment, the method further includes a data transmitter configured to transmit the graphic data to the user's electronic terminal, wherein the user's electronic terminal is configured to transmit the graphic data to the metaverse. and when the graphic data is received from the bus service operating server, an interface design constituting the user's changed metaverse environment is rendered and displayed on the screen based on the graphic data.
The method of claim 1 , wherein the information on a plurality of digital items preset as capable of imparting a decorative effect to the interface design constituting the metaverse environment, and different n-dimensional information corresponding to each of the plurality of digital items are provided. a digital item information storage unit storing a payment reference vector of - the payment reference vector is a reference vector preset as a reference for determining whether to pay each of the plurality of digital items; a payment decision event generating unit for generating a payment decision event for determining whether to pay the digital item to the user every second preset period;
When the payment decision event occurs, payment history information at each of the plurality of affiliated stores of the user stored in the payment history database is checked, and the payment decision event occurs during the second period. a second payment number check unit for checking the second number of payments for each of the n shopping categories of the user by counting the number of payments by the user at each of the plurality of affiliated stores by shopping category; a vector generator configured to construct an n-dimensional vector having a second number of payments for each of the n shopping categories of the user as a component, thereby generating a vector for the number of payments for the user; a distance calculating unit for calculating a Euclidean distance between a payment reference vector corresponding to each of the plurality of digital items and the payment number vector with reference to the digital item information storage unit;
and when it is confirmed that the Euclidean distance between the payment reference vector corresponding to the first digital item, which is one of the plurality of digital items, and the payment number vector is less than or equal to a preset reference distance, the first digital item is returned to the user as a reward. After determining the item to be paid, by generating payment history information indicating that the first digital item has been paid as a reward to the user and storing it in a reward history database, an item that processes payment of the first digital item to the user Metaverse service operation server further comprising a payment processing unit.
4. The method of claim 3, wherein after the payment of the first digital item to the user is processed, as a request for access to the metaverse service is received from the user's electronic terminal, when the user's electronic terminal is connected, a token transmitter for generating a first digital token by applying data about the first digital item as an input to a preset token generating function, and transmitting the first digital token to the user's electronic terminal; and a token storage processing unit for further storing the first digital token in the reward history database by matching the first digital token with the payment history information stored in the reward history database.
5. The method of claim 4, wherein after the first digital token is stored in the reward history database, the first digital item is stored while the first digital token is received from the electronic terminal of the user who has been connected to the metaverse service. When an item application request to apply to metaverse environment decoration is received, based on the first digital token, the payment history information stored in correspondence with the first digital token is checked from the reward history database. The metaverse further comprising: an item application unit that, after confirming the first digital item provided as a reward to the user, applies a decorative effect to an interface design constituting the metaverse environment of the user based on the first digital item; Service Operation Server.
In the method of operating a metaverse service operation server for operating a metaverse service that changes an interface design constituting a metaverse environment based on a payment history, a preset n (n is a natural number greater than or equal to 2) shopping maintaining a shopping category information storage unit storing information on categories; maintaining an affiliate store information storage unit storing information on a plurality of pre-designated affiliated stores, each of which is assigned a shopping category among the n shopping categories; Pre-set interface design change information corresponding to each of the n shopping categories - The interface design change information means information defining how to change the interface design constituting the metaverse environment - and the n shopping categories maintaining a change information storage unit in which a preset threshold number of payment corresponding to each is stored;
collecting payment history information from each of the plurality of affiliated stores of the user subscribed to the metaverse service and storing the information in a payment history database;generating a change decision event for determining whether to change an interface design constituting the metaverse environment of the user every preset first period; When the change decision event occurs, payment history information at each of the plurality of affiliated stores of the user stored in the payment history database is checked, and the change decision event occurs during the first period. checking the first number of payments for each of the n shopping categories by the user by counting the number of payments by the user at each of the plurality of affiliated stores by shopping category; checking whether a first number of payments for each of the n shopping categories exceeds a threshold number of payments corresponding to each shopping category with reference to the change information storage unit;
and if it is determined that the first number of payments for a first shopping category, which is one of the n shopping categories, exceeds a threshold number of payments corresponding to the first shopping category, referring to the change information storage unit, the first and changing an interface design constituting the metaverse environment of the user according to interface design change information corresponding to a shopping category.
The method of claim 6 , wherein, after the interface design constituting the metaverse environment of the user is changed, when an access request for the metaverse service is received from the user's electronic terminal and the user is connected to the user's electronic terminal, the After generating graphic data for expressing an interface design constituting the user's changed metaverse environment, the method further comprising the step of transmitting the graphic data to the user's electronic terminal, wherein the user's electronic terminal provides the metaverse service When the graphic data is received from the operating server, based on the graphic data, an interface design constituting the user's changed metaverse environment is rendered and displayed on a screen.
The method of claim 6 , wherein the information on a plurality of digital items preset as capable of imparting a decorative effect to an interface design constituting the metaverse environment, and different n-dimensional information corresponding to each of the plurality of digital items are provided. maintaining a digital item information storage unit in which a payment reference vector of - the payment reference vector is a reference vector preset as a reference for determining whether to pay each of the plurality of digital items; generating a payment decision event for determining whether to pay the digital item to the user every second preset period;
When the payment decision event occurs, payment history information at each of the plurality of affiliated stores of the user stored in the payment history database is checked, and the payment decision event occurs during the second period. checking a second number of payments for each of the n shopping categories of the user by counting the number of payments by the user at each of the plurality of affiliated stores by shopping category; generating an n-dimensional vector having a second number of payments for each of the n shopping categories of the user as a component, thereby generating a vector for the number of payments for the user; calculating a Euclidean distance between a payment reference vector corresponding to each of the plurality of digital items and the payment number vector with reference to the digital item information storage unit;
and when it is confirmed that the Euclidean distance between the payment reference vector corresponding to the first digital item, which is one of the plurality of digital items, and the number of payment vectors is less than or equal to a preset reference distance, the first digital item is returned to the user as a reward. processing payment of the first digital item to the user by generating payment history information indicating that the first digital item has been paid as a reward to the user and storing it in a reward history database after determining the item to be paid Method of operating a metaverse service operation server further comprising a.
9. The method of claim 8, wherein after the payment of the first digital item to the user is processed, as a request for access to the metaverse service is received from the user's electronic terminal, when accessing the user's electronic terminal, applying data for the first digital item as an input to a preset token generation function to generate a first digital token, and then transmitting the first digital token to the user's electronic terminal; and further storing the first digital token in the reward history database by matching the first digital token with the payment history information stored in the reward history database.
The method of claim 9, wherein after the first digital token is stored in the reward history database, the first digital token is received from the electronic terminal of the user who has been connected to the metaverse service, and the first digital item is stored. When an item application request for application to metaverse environment decoration is received, based on the first digital token, the payment history information stored in correspondence with the first digital token is checked from the reward history database. After confirming the first digital item paid to the user as a reward, the metaverse service operation further comprising the step of applying a decorative effect to an interface design constituting the metaverse environment of the user based on the first digital item; How the server works.
A computer-readable recording medium recording a computer program for executing the method of any one of claims 6 to 10 through combination with a computer.
A computer program stored in a storage medium for executing the method of any one of claims 6 to 10 through combination with a computer.</t>
  </si>
  <si>
    <t>Jeon, Jae Young|Kim, Ki Young</t>
  </si>
  <si>
    <t>G06Q0040000000</t>
  </si>
  <si>
    <t>G06Q0040000000 | G06T0013400000 | G06T2207202210 | H04L0009500000</t>
  </si>
  <si>
    <t>G06Q04000000</t>
  </si>
  <si>
    <t>G06Q04000000 | G06T01340000</t>
  </si>
  <si>
    <t>KR102295799B1</t>
  </si>
  <si>
    <t>KR102295799 B1</t>
  </si>
  <si>
    <t>I-000214481425</t>
  </si>
  <si>
    <t>20 years from 2021-05-25 (file date)</t>
  </si>
  <si>
    <t>https://patentscout.innography.com/share/fiRHZDIsmqHpWW-tiSg2dA%3D%3D</t>
  </si>
  <si>
    <t>2021-07-20-DECISION TO GRANT OR REGISTRATION OF PATENT RIGHT|2021-08-25-WRITTEN DECISION TO GRANT</t>
  </si>
  <si>
    <t>https://patentscout.innography.com/share/fiRHZDIsmqHpWW-tiSg2dA%3D%3D/download</t>
  </si>
  <si>
    <t>https://v3.espacenet.com/publicationDetails/biblio?CC=KR&amp;NR=102295799B1&amp;KC=B1&amp;FT=D&amp;date=20210831&amp;DB=EPODOC&amp;locale=</t>
  </si>
  <si>
    <t>KR20102295799 B1</t>
  </si>
  <si>
    <t>1.  In a metaverse service operation server for operating a metaverse service that changes an interface design constituting a metaverse environment based on a payment history, n (n is a natural number equal to or greater than 2 ) preset shopping categories a shopping category information storage unit in which information about the information is stored; an affiliated store information storage unit storing information on a plurality of pre-designated affiliated stores, each of which is assigned a shopping category among the n shopping categories; Pre-set interface design change information corresponding to each of the n shopping categories - The interface design change information means information defining how to change the interface design constituting the metaverse environment - and the n shopping categories a change information storage unit in which a preset threshold number of payment corresponding to each is stored;
a payment history information collecting unit that collects payment history information from each of the plurality of affiliated stores of the user subscribed to the metaverse service and stores it in a payment history database;a change decision event generator for generating a change decision event for determining whether to change an interface design constituting the metaverse environment of the user at every preset first cycle; When the change decision event occurs, payment history information at each of the plurality of affiliated stores of the user stored in the payment history database is checked, and the change decision event occurs during the first period. a first payment number checking unit for checking the first number of payments for each of the n shopping categories of the user by dividing and counting the number of payments by the user at each of the plurality of affiliated stores for each shopping category; an excess checking unit for checking whether the first number of payments for each of the n shopping categories exceeds a threshold number of payments corresponding to each shopping category with reference to the change information storage unit;
and if it is determined that the first number of payments for a first shopping category, which is one of the n shopping categories, exceeds a threshold number of payments corresponding to the first shopping category, referring to the change information storage unit, the first and a change processing unit for changing an interface design constituting the metaverse environment of the user according to interface design change information corresponding to a shopping category.</t>
  </si>
  <si>
    <t>6.  In the method of operating a metaverse service operation server for operating a metaverse service that changes an interface design constituting a metaverse environment based on a payment history, a preset n (n is a natural number greater than or equal to 2 ) shopping maintaining a shopping category information storage unit storing information on categories; maintaining an affiliate store information storage unit storing information on a plurality of pre-designated affiliated stores, each of which is assigned a shopping category among the n shopping categories; Pre-set interface design change information corresponding to each of the n shopping categories - The interface design change information means information defining how to change the interface design constituting the metaverse environment - and the n shopping categories maintaining a change information storage unit in which a preset threshold number of payment corresponding to each is stored;
collecting payment history information from each of the plurality of affiliated stores of the user subscribed to the metaverse service and storing the information in a payment history database;generating a change decision event for determining whether to change an interface design constituting the metaverse environment of the user every preset first period; When the change decision event occurs, payment history information at each of the plurality of affiliated stores of the user stored in the payment history database is checked, and the change decision event occurs during the first period. checking the first number of payments for each of the n shopping categories by the user by counting the number of payments by the user at each of the plurality of affiliated stores by shopping category; checking whether a first number of payments for each of the n shopping categories exceeds a threshold number of payments corresponding to each shopping category with reference to the change information storage unit;
and if it is determined that the first number of payments for a first shopping category, which is one of the n shopping categories, exceeds a threshold number of payments corresponding to the first shopping category, referring to the change information storage unit, the first and changing an interface design constituting the metaverse environment of the user according to interface design change information corresponding to a shopping category.</t>
  </si>
  <si>
    <t>JP2019033877 A | KR20060129775 A | KR20080029407 A | KR101923723 B1 | KR20160090198 A | KR20210084073 A</t>
  </si>
  <si>
    <t>KR102424123 B1</t>
  </si>
  <si>
    <t>2022-03-21</t>
  </si>
  <si>
    <t>2021-08-26</t>
  </si>
  <si>
    <t>2041-08-26</t>
  </si>
  <si>
    <t>According to various embodiments the metaverse operation server may include: an information acquisition unit configured to acquire image information on a real object existing in the user&amp;#39;s real space and information on the user&amp;#39;s movement; a metaverse space generating unit generating a metaverse space that is a virtual space and an avatar that is a virtual object to be arranged in the metaverse space; an effect providing unit providing an effect corresponding to the surrounding context information based on the surrounding context information of the avatar in the metaverse space; and an avatar controller configured to control the movement of the avatar to correspond to the movement of the user. The metaverse space generating unit generates a metaverse space interface so that the user can directly configure the metaverse space provides the generated metaverse space interface to the user terminal of the user and uses the metaverse space interface. Through this spatial information may be received from the user and the metaverse space may be generated based on the received spatial information.</t>
  </si>
  <si>
    <t>Method and apparatus for providing metaverse service</t>
  </si>
  <si>
    <t>Lee, Pung Yeon</t>
  </si>
  <si>
    <t>KR20210112898A</t>
  </si>
  <si>
    <t>A metaverse operating server providing a metaverse space service to a user, comprising: an information acquisition unit configured to acquire image information on a real object existing in the user's real space and information on the user's movement;a metaverse space generating unit generating a metaverse space that is a virtual space and an avatar that is a virtual object to be arranged in the metaverse space;an effect providing unit providing an effect corresponding to the surrounding context information based on the surrounding context information of the avatar in the metaverse space;an avatar controller for controlling the movement of the avatar to correspond to the movement of the user;a movement area determining unit that determines an area in which the avatar can move;and a voice transmission zone determining unit that determines a voice transmission area that is a range in which the avatar's voice can be heard, wherein the metaverse space generator generates a metaverse space interface so that the user can directly configure the metaverse space. and providing the generated metaverse spatial interface to the user terminal of the user, receiving spatial information from the user through the metaverse spatial interface, and generating the metaverse space based on the received spatial information; , the effect providing unit, when the avatar approaches a specific point in the metaverse space, provides a sensory effect corresponding to the environment of the point to the user through the user terminal, and the metaverse space is distinguished from the user It is a space in which other users are connected and second avatars of each of the other users are displayed, and the movement area determiner generates an avatar density map of the metaverse space,A movement restriction area and a movable area of the avatar are determined according to the generated avatar density map, the ground surface of the metaverse space is divided into a plurality of cells, and the avatar located in each of the divided cells and determining the avatar density of each of the plurality of cells based on the inclination of each of the plurality of cells, and determining the avatar density through the following equation; In the above formula, Adis the avatar density, B is the area of the cell, p is the number of avatars located in the cell, s is the gradient of the cell, dIt'sdenotes the distance between the avatars located in the cell from the center of the cell, the gradient denotes the inclination of the highest point and the lowest point in the cell, and the determined avatar density is greater than or equal to a preset threshold density in the movement restriction zone. , wherein the voice transmission zone determining unit has the position of the avatar as a first focus, a direction in which the face of the avatar faces at the first focus is a long axis direction, and in the first focus along the long axis direction A first ellipse having a second focal point at a preset first distance, the length of the minor axis being the first minor axis length, is determined as the voice transmission zone, and the position of the avatar is a third location same as the first focal point. a focal point, a direction in which the face of the avatar faces at the third focal point is a long axis direction, and a fourth focal point is located at a preset second distance shorter than the first distance along the long axis direction from the third focal point; The length in the minor axis direction is the second minor axis length,A second ellipse is determined as a fixed transmission zone, the first distance and the second distance are proportional to the volume of the user's voice corresponding to the avatar, and the first short axis length and the second short axis length are expressed by the following equations: is calculated through In the above equation, Ls is the minor axis length of the ellipse, la is the distance between the focal points of the ellipse, h is the height (m) of the avatar, and flows through a region of the voice transmission region excluding the fixed transmission region. a zone is determined, and the other users corresponding to the second avatars located in the voice delivery zone are set to listen to the avatar's voice at a preset first volume, and the second avatars located in the fluid delivery zone among, set so that a second user corresponding to a second avatar whose current location on the metaverse space is relatively close to the fixed delivery zone hears the voice of the avatar at a second volume lower than the first volume, Among the second avatars located in the delivery zone, a third user corresponding to a third avatar whose current location in the metaverse space is relatively far from the fixed delivery zone may hear the voice of the avatar less than the second volume. Set to listen at volume,Based on the current location, movement direction, and movement speed of each of the second avatars, a fourth user corresponding to the fourth avatar determined to enter the fixed delivery area among the second avatars hears the voice of the avatar. Set to listen to the fourth volume, the fourth volume is determined through the following equation, In the above formula, Sm is the fourth volume, f is the first volume, v is the moving speed of the fourth avatar, and θ is the direction from the fourth avatar toward the avatar and the movement of the fourth avatar. Meaning an angle between directions, and setting so that a fifth user corresponding to a fifth avatar determined to deviate from the voice transmission area among the second avatars listens to the avatar's voice at a preset minimum volume. Bus Operation Server.</t>
  </si>
  <si>
    <t>A metaverse operating server providing a metaverse space service to a user, comprising: an information acquisition unit configured to acquire image information on a real object existing in the user's real space and information on the user's movement;a metaverse space generating unit generating a metaverse space that is a virtual space and an avatar that is a virtual object to be arranged in the metaverse space;an effect providing unit providing an effect corresponding to the surrounding context information based on the surrounding context information of the avatar in the metaverse space;an avatar controller for controlling the movement of the avatar to correspond to the movement of the user;a movement area determining unit that determines an area in which the avatar can move;
and a voice transmission zone determining unit that determines a voice transmission area that is a range in which the avatar's voice can be heard, wherein the metaverse space generator generates a metaverse space interface so that the user can directly configure the metaverse space. and providing the generated metaverse spatial interface to the user terminal of the user, receiving spatial information from the user through the metaverse spatial interface, and generating the metaverse space based on the received spatial information; , the effect providing unit, when the avatar approaches a specific point in the metaverse space, provides a sensory effect corresponding to the environment of the point to the user through the user terminal, and the metaverse space is distinguished from the user It is a space in which other users are connected and second avatars of each of the other users are displayed, and the movement area determiner generates an avatar density map of the metaverse space,
A movement restriction area and a movable area of the avatar are determined according to the generated avatar density map, the ground surface of the metaverse space is divided into a plurality of cells, and the avatar located in each of the divided cells and determining the avatar density of each of the plurality of cells based on the inclination of each of the plurality of cells, and determining the avatar density through the following equation; In the above formula, Adis the avatar density, B is the area of the cell, p is the number of avatars located in the cell, s is the gradient of the cell, dIt'sdenotes the distance between the avatars located in the cell from the center of the cell, the gradient denotes the inclination of the highest point and the lowest point in the cell, and the determined avatar density is greater than or equal to a preset threshold density in the movement restriction zone. , wherein the voice transmission zone determining unit has the position of the avatar as a first focus, a direction in which the face of the avatar faces at the first focus is a long axis direction, and in the first focus along the long axis direction A first ellipse having a second focal point at a preset first distance, the length of the minor axis being the first minor axis length, is determined as the voice transmission zone, and the position of the avatar is a third location same as the first focal point. a focal point, a direction in which the face of the avatar faces at the third focal point is a long axis direction, and a fourth focal point is located at a preset second distance shorter than the first distance along the long axis direction from the third focal point; The length in the minor axis direction is the second minor axis length,
A second ellipse is determined as a fixed transmission zone, the first distance and the second distance are proportional to the volume of the user's voice corresponding to the avatar, and the first short axis length and the second short axis length are expressed by the following equations: is calculated through In the above equation, Ls is the minor axis length of the ellipse, la is the distance between the focal points of the ellipse, h is the height (m) of the avatar, and flows through a region of the voice transmission region excluding the fixed transmission region. a zone is determined, and the other users corresponding to the second avatars located in the voice delivery zone are set to listen to the avatar's voice at a preset first volume, and the second avatars located in the fluid delivery zone among, set so that a second user corresponding to a second avatar whose current location on the metaverse space is relatively close to the fixed delivery zone hears the voice of the avatar at a second volume lower than the first volume, Among the second avatars located in the delivery zone, a third user corresponding to a third avatar whose current location in the metaverse space is relatively far from the fixed delivery zone may hear the voice of the avatar less than the second volume. Set to listen at volume,
Based on the current location, movement direction, and movement speed of each of the second avatars, a fourth user corresponding to the fourth avatar determined to enter the fixed delivery area among the second avatars hears the voice of the avatar. Set to listen to the fourth volume, the fourth volume is determined through the following equation, In the above formula, Sm is the fourth volume, f is the first volume, v is the moving speed of the fourth avatar, and θ is the direction from the fourth avatar toward the avatar and the movement of the fourth avatar. Meaning an angle between directions, and setting so that a fifth user corresponding to a fifth avatar determined to deviate from the voice transmission area among the second avatars listens to the avatar's voice at a preset minimum volume. Bus Operation Server.
The method according to claim 1, wherein the metaverse space generator tracks the path of the avatar and the path of the second avatars, and the pattern is formed when the tracked path of the avatar and the path of the second avatars form a constant pattern. A metaverse operating server that creates a virtual road in the metaverse space according to
The method according to claim 2, wherein the metaverse space generator, obtains geographic information corresponding to the current location of the user sensed using a global positioning system (GPS) of the user terminal, based on the obtained geographic information, A metaverse operation server for obtaining a terrain modeling corresponding to the current location of the user provided by a rendering server, and generating the metaverse space based on the obtained terrain modeling.
The method according to claim 3, wherein the metaverse space generating unit obtains the real space information of the user through the multi-directional image data of the user's real space, and, at a first point of view, a first image captured in the first direction and Obtaining first location data of the user terminal, and obtaining a second image obtained by photographing a second direction different from the first direction at a second time point different from the first time point and second location data of the user terminal, , based on the first position data and the second position data, generating position change data for the first time point and the second time point, and an object commonly included in the first image and the second image; Identifies a background, performs spatial correction on the identified object and the background based on the position change data, generates reference spatial data based on the spatial correction, and generates the reference spatial data based on the generated reference spatial data A metaverse operating server that creates a metaverse space.
The method of claim 4, wherein the avatar controller performs stereo matching on the user's image data obtained through a multi-view camera, obtains 3D information of the user through the stereo matching, and Based on the user's 3D information and motion sensing information on the user's movement, feature points for the user's human body skeletal structure are extracted by time, and the extracted feature points are grouped into a plurality of clusters according to the user's body structure and calculating a motion vector of each of the plurality of clusters, changing the coordinates of vertices constituting the avatar based on the calculated motion vector, and changing the coordinates of the vertices based on the changed coordinates of the vertices. A metaverse operating server that controls the movement of the avatar.</t>
  </si>
  <si>
    <t>G06Q05010000 | G06T00720000 | G06T01340000 | G06T01900000 | H04N01312800 | H04N01323900</t>
  </si>
  <si>
    <t>KR102376390B1</t>
  </si>
  <si>
    <t>KR102376390 B1</t>
  </si>
  <si>
    <t>I-000223764978</t>
  </si>
  <si>
    <t>20 years from 2021-08-26 (file date)</t>
  </si>
  <si>
    <t>https://patentscout.innography.com/share/aLFzhj96-Of3axpylibS2g%3D%3D</t>
  </si>
  <si>
    <t>2022-03-03-DECISION TO GRANT OR REGISTRATION OF PATENT RIGHT|2022-03-15-WRITTEN DECISION TO GRANT</t>
  </si>
  <si>
    <t>https://patentscout.innography.com/share/aLFzhj96-Of3axpylibS2g%3D%3D/download</t>
  </si>
  <si>
    <t>https://v3.espacenet.com/publicationDetails/biblio?CC=KR&amp;NR=102376390B1&amp;KC=B1&amp;FT=D&amp;date=20220321&amp;DB=EPODOC&amp;locale=</t>
  </si>
  <si>
    <t>KR20102376390 B1</t>
  </si>
  <si>
    <t>1.  A metaverse operating server providing a metaverse space service to a user, comprising: an information acquisition unit configured to acquire image information on a real object existing in the user's real space and information on the user's movement;a metaverse space generating unit generating a metaverse space that is a virtual space and an avatar that is a virtual object to be arranged in the metaverse space;an effect providing unit providing an effect corresponding to the surrounding context information based on the surrounding context information of the avatar in the metaverse space;an avatar controller for controlling the movement of the avatar to correspond to the movement of the user;a movement area determining unit that determines an area in which the avatar can move;
and a voice transmission zone determining unit that determines a voice transmission area that is a range in which the avatar's voice can be heard, wherein the metaverse space generator generates a metaverse space interface so that the user can directly configure the metaverse space. and providing the generated metaverse spatial interface to the user terminal of the user, receiving spatial information from the user through the metaverse spatial interface, and generating the metaverse space based on the received spatial information; , the effect providing unit, when the avatar approaches a specific point in the metaverse space, provides a sensory effect corresponding to the environment of the point to the user through the user terminal, and the metaverse space is distinguished from the user It is a space in which other users are connected and second avatars of each of the other users are displayed, and the movement area determiner generates an avatar density map of the metaverse space,
A movement restriction area and a movable area of the avatar are determined according to the generated avatar density map, the ground surface of the metaverse space is divided into a plurality of cells, and the avatar located in each of the divided cells and determining the avatar density of each of the plurality of cells based on the inclination of each of the plurality of cells, and determining the avatar density through the following equation; In the above formula, Adis the avatar density, B is the area of the cell, p is the number of avatars located in the cell, s is the gradient of the cell, dIt'sdenotes the distance between the avatars located in the cell from the center of the cell, the gradient denotes the inclination of the highest point and the lowest point in the cell, and the determined avatar density is greater than or equal to a preset threshold density in the movement restriction zone. , wherein the voice transmission zone determining unit has the position of the avatar as a first focus, a direction in which the face of the avatar faces at the first focus is a long axis direction, and in the first focus along the long axis direction A first ellipse having a second focal point at a preset first distance, the length of the minor axis being the first minor axis length, is determined as the voice transmission zone, and the position of the avatar is a third location same as the first focal point. a focal point, a direction in which the face of the avatar faces at the third focal point is a long axis direction, and a fourth focal point is located at a preset second distance shorter than the first distance along the long axis direction from the third focal point; The length in the minor axis direction is the second minor axis length,
A second ellipse is determined as a fixed transmission zone, the first distance and the second distance are proportional to the volume of the user's voice corresponding to the avatar, and the first short axis length and the second short axis length are expressed by the following equations: is calculated through In the above equation, Ls is the minor axis length of the ellipse, la is the distance between the focal points of the ellipse, h is the height (m) of the avatar, and flows through a region of the voice transmission region excluding the fixed transmission region. a zone is determined, and the other users corresponding to the second avatars located in the voice delivery zone are set to listen to the avatar's voice at a preset first volume, and the second avatars located in the fluid delivery zone among, set so that a second user corresponding to a second avatar whose current location on the metaverse space is relatively close to the fixed delivery zone hears the voice of the avatar at a second volume lower than the first volume, Among the second avatars located in the delivery zone, a third user corresponding to a third avatar whose current location in the metaverse space is relatively far from the fixed delivery zone may hear the voice of the avatar less than the second volume. Set to listen at volume,
Based on the current location, movement direction, and movement speed of each of the second avatars, a fourth user corresponding to the fourth avatar determined to enter the fixed delivery area among the second avatars hears the voice of the avatar. Set to listen to the fourth volume, the fourth volume is determined through the following equation, In the above formula, Sm is the fourth volume, f is the first volume, v is the moving speed of the fourth avatar, and θ is the direction from the fourth avatar toward the avatar and the movement of the fourth avatar. Meaning an angle between directions, and setting so that a fifth user corresponding to a fifth avatar determined to deviate from the voice transmission area among the second avatars listens to the avatar's voice at a preset minimum volume. Bus Operation Server.</t>
  </si>
  <si>
    <t>KR20120129401 A | KR20180092680 A | KR20190026319 A | KR20210028786 A</t>
  </si>
  <si>
    <t>2022-06-13</t>
  </si>
  <si>
    <t>2021-11-23</t>
  </si>
  <si>
    <t>2041-11-23</t>
  </si>
  <si>
    <t>The present invention measures the user&amp;#39;s bio-signals by wearing a wearable device to a user (a general public a hospitalized patient or an elderly living alone at home) and then through the measured bio-signals the user&amp;#39;s health status is identified and identified It is an invention that allows a user to relieve stress using the metaverse environment according to the state of health or provides hospital information that can be professionally treated for the disease when hospital treatment is required a wearable device 100 It is characterized in that it includes a user terminal 200 and a metaverse providing server 300 .</t>
  </si>
  <si>
    <t>A health management system for user by using wearable device and metaverse</t>
  </si>
  <si>
    <t>Lee, Yong Ho</t>
  </si>
  <si>
    <t>KR20210161858A</t>
  </si>
  <si>
    <t>A user health management system using a wearable device and a metaverse, comprising: a wearable device worn by a user to measure a user's bio-signals and provide the measured user's bio-signals to a user terminal (200);A user avatar is generated, the user's health condition is determined using the user's bio-signals provided by the wearable device 100 , and when the identified user health condition is a stress state, the user uses the user avatar to determine the user's stress state Notifies the user so that they can intuitively know, the metaverse information provided by the metaverse providing server 300 and the generated user avatar are used to relieve the user's stress, and when the identified user's health condition requires hospital treatment , a user terminal 200 equipped with a dedicated app 210 that provides a user with hospital information available for treatment;and a metaverse providing server 300 that provides metaverse information to the user terminal 200, wherein the user's bio-signals measured by the wearable device 100 include heart rate, pulse rate, blood pressure, and body temperature, , the dedicated app 210 mounted on the user terminal 200 includes an avatar generator 211 that generates a user avatar using the input user information, and the user's health status using the user's bio-signals, When the health state is a stress state, the stress index is identified and provided to the stress management unit 213. When the user's health state is a state requiring medical treatment, the expected disease is identified, and the identified expected disease information is provided to the hospital recommendation unit ( 214), and when the health state determining unit 212 provides the user's stress index, determines the facial expression and gesture of the user's avatar corresponding to the stress index;A stress management unit 213 that displays a user avatar reflecting the determined facial expression and gesture on the screen of the user terminal 200, provides a method for relieving stress, and enables the user to relieve stress in a metaverse environment; When the condition determining unit 212 provides disease information, it determines the facial expression and gesture of the user avatar corresponding to the disease information, displays the user avatar reflecting the determined facial expression and gesture on the screen of the user terminal 200, and the corresponding disease A user health management system using a wearable device and a metaverse, characterized in that it includes a hospital recommendation unit 214 that provides hospital information capable of professionally treating patients.</t>
  </si>
  <si>
    <t>A user health management system using a wearable device and a metaverse, comprising: a wearable device worn by a user to measure a user's bio-signals and provide the measured user's bio-signals to a user terminal (200);A user avatar is generated, the user's health condition is determined using the user's bio-signals provided by the wearable device 100 , and when the identified user health condition is a stress state, the user uses the user avatar to determine the user's stress state Notifies the user so that they can intuitively know, the metaverse information provided by the metaverse providing server 300 and the generated user avatar are used to relieve the user's stress, and when the identified user's health condition requires hospital treatment , a user terminal 200 equipped with a dedicated app 210 that provides a user with hospital information available for treatment;and a metaverse providing server 300 that provides metaverse information to the user terminal 200, wherein the user's bio-signals measured by the wearable device 100 include heart rate, pulse rate, blood pressure, and body temperature, , the dedicated app 210 mounted on the user terminal 200 includes an avatar generator 211 that generates a user avatar using the input user information, and the user's health status using the user's bio-signals, When the health state is a stress state, the stress index is identified and provided to the stress management unit 213. When the user's health state is a state requiring medical treatment, the expected disease is identified, and the identified expected disease information is provided to the hospital recommendation unit ( 214), and when the health state determining unit 212 provides the user's stress index, determines the facial expression and gesture of the user's avatar corresponding to the stress index;
A stress management unit 213 that displays a user avatar reflecting the determined facial expression and gesture on the screen of the user terminal 200, provides a method for relieving stress, and enables the user to relieve stress in a metaverse environment; When the condition determining unit 212 provides disease information, it determines the facial expression and gesture of the user avatar corresponding to the disease information, displays the user avatar reflecting the determined facial expression and gesture on the screen of the user terminal 200, and the corresponding disease A user health management system using a wearable device and a metaverse, characterized in that it includes a hospital recommendation unit 214 that provides hospital information capable of professionally treating patients.
delete
The method according to claim 1, wherein the stress management unit (213), when the user selects travel as a stress relieving method and inputs travel destination information, requests metaverse information on the inputted travel destination to the metaverse providing server (300), , using metaverse information on the corresponding travel destination provided by the metaverse providing server 300 to allow the user avatar to travel in the virtual corresponding travel destination metaverse environment so that the user can indirectly experience travel to the corresponding travel destination A user health management system using a wearable device and a metaverse, characterized in that it includes a first stress reliever (2131).
The method according to claim 1, wherein the stress management unit (213), when the user selects dance as a stress relieving method, requests metaverse information about the dance club to the metaverse providing server (300), and the metaverse providing server (300) ) to allow the user avatar to dance in the virtual dance club metaverse environment using the metaverse information on the dance club provided by A system that allows users to experience dance indirectly by purchasing and acquiring the sound source of dance music corresponding to music information from a sound source providing site, outputting the obtained sound source, and at the same time having the user avatar dance according to the melody of the sound source 2 A user health management system using a wearable device and a metaverse, characterized in that it includes a stress reliever (2132).
The method according to claim 1, wherein the stress management unit (213), when a user selects a song as a method of relieving stress, requests metaverse information about karaoke to the metaverse providing server (300), and the metaverse providing server (300) The user avatar can sing in the virtual karaoke metaverse environment using metaverse information on karaoke provided by A wearable device comprising a third stress reliever 2133 that purchases and acquires a performance sound source from a sound source providing site and outputs the obtained performance sound source so that the user can sing along with the output sound source and User health management system using Metaverse.
The method according to claim 1, wherein the stress management unit (213), when the user selects shopping as a stress relieving method, requests metaverse information about the shopping mall to the metaverse providing server (300), and the metaverse providing server (300) and a fourth stress reliever 2134 that allows the user to experience shopping indirectly by allowing the user avatar to shop in the virtual shopping mall metaverse environment using metaverse information on the shopping mall provided by A user health management system using wearable devices and Metaverse.
The method according to claim 1, wherein the stress management unit (213), when the user selects makeup as a stress relieving method, requests metaverse information about the makeup shop to the metaverse providing server (300), and the metaverse providing server (300) ), a fifth stress reliever 2135 that allows the user to experience makeup indirectly by making the user avatar make up in the style desired by the user avatar in the virtual makeup shop metaverse environment using metaverse information on the makeup shop provided by ) A user health management system using a wearable device and a metaverse, characterized in that it includes.
The method according to claim 1, wherein the stress management unit (213), when the user selects hair management as a stress relieving method, requests metaverse information about the hair shop to the metaverse providing server (300), and 300) is a system that allows users to experience hair care indirectly by using the metaverse information about the hair shop provided by the user avatar to manage the hair with the desired hairstyle in the virtual hair shop metaverse environment. 6 A user health management system using a wearable device and a metaverse, characterized in that it includes a stress reliever (2136).
The method according to claim 1, wherein the dedicated app 210 mounted on the user terminal 200, but provides the user's bio-signals provided by the wearable device 100 to the outside, when the user is a hospitalized patient, the external is a nursing station terminal of a hospital in which the user is hospitalized, and when the user is an elderly person living alone, the outside is a social worker terminal that manages the user. A user health management system using a wearable device and metaverse.
The method according to claim 9, wherein the dedicated app 210 mounted on the user terminal 200, when the identified user health state is a state requiring hospital treatment, when the user is a hospitalized patient, A wearable device and metaverse, characterized in that an emergency check situation occurrence alarm message is provided to a nursing station terminal, and when the user is an elderly person living alone, a message notifying the need for hospital treatment is transmitted to a social worker terminal managing the user User health management system used.
The method according to claim 10, When transmitting a message notifying the need for hospital treatment to the social worker terminal managing the user, transmitting the user phone number, user location information, and the social worker phone number managing the user to the competent 119 rescue center A user health management system using wearable devices and metaverses.</t>
  </si>
  <si>
    <t>A61B0005160000</t>
  </si>
  <si>
    <t>G16H02070000</t>
  </si>
  <si>
    <t>G16H02070000 | A61B00516000 | A61M02100000 | G06K00900000 | G06Q05010000 | G08B02501000 | G08B02514000 | G16H01060000 | G16H04067000 | G16H05020000 | G16H05030000</t>
  </si>
  <si>
    <t>KR102406852B1</t>
  </si>
  <si>
    <t>KR102406852 B1</t>
  </si>
  <si>
    <t>I-000226810702</t>
  </si>
  <si>
    <t>20 years from 2021-11-23 (file date)</t>
  </si>
  <si>
    <t>https://patentscout.innography.com/share/qZagwaYke2YdBJZ3OZ5tIg%3D%3D</t>
  </si>
  <si>
    <t>2022-05-31-DECISION TO GRANT OR REGISTRATION OF PATENT RIGHT|2022-06-03-WRITTEN DECISION TO GRANT</t>
  </si>
  <si>
    <t>https://patentscout.innography.com/share/qZagwaYke2YdBJZ3OZ5tIg%3D%3D/download</t>
  </si>
  <si>
    <t>https://v3.espacenet.com/publicationDetails/biblio?CC=KR&amp;NR=102406852B1&amp;KC=B1&amp;FT=D&amp;date=20220613&amp;DB=EPODOC&amp;locale=</t>
  </si>
  <si>
    <t>KR20102406852 B1</t>
  </si>
  <si>
    <t>1.  A user health management system using a wearable device and a metaverse, comprising: a wearable device worn by a user to measure a user's bio-signals and provide the measured user's bio-signals to a user terminal (200 );A user avatar is generated, the user's health condition is determined using the user's bio-signals provided by the wearable device 100  , and when the identified user health condition is a stress state, the user uses the user avatar to determine the user's stress state Notifies the user so that they can intuitively know, the metaverse information provided by the metaverse providing server 300 and the generated user avatar are used to relieve the user's stress, and when the identified user's health condition requires hospital treatment , a user terminal 200 equipped with a dedicated app 210 that provides a user with hospital information available for treatment;and a metaverse providing server 300 that provides metaverse information to the user terminal 200 , wherein the user's bio-signals measured by the wearable device 100 include heart rate, pulse rate, blood pressure, and body temperature, , the dedicated app 210 mounted on the user terminal 200 includes an avatar generator 211 that generates a user avatar using the input user information, and the user's health status using the user's bio-signals, When the health state is a stress state, the stress index is identified and provided to the stress management unit 213.  When the user's health state is a state requiring medical treatment, the expected disease is identified, and the identified expected disease information is provided to the hospital recommendation unit ( 214 ), and when the health state determining unit 212 provides the user's stress index, determines the facial expression and gesture of the user's avatar corresponding to the stress index;
A stress management unit 213 that displays a user avatar reflecting the determined facial expression and gesture on the screen of the user terminal 200 , provides a method for relieving stress, and enables the user to relieve stress in a metaverse environment; When the condition determining unit 212 provides disease information, it determines the facial expression and gesture of the user avatar corresponding to the disease information, displays the user avatar reflecting the determined facial expression and gesture on the screen of the user terminal 200 , and the corresponding disease A user health management system using a wearable device and a metaverse, characterized in that it includes a hospital recommendation unit 214 that provides hospital information capable of professionally treating patients.</t>
  </si>
  <si>
    <t>KR101656025 B1 | KR102376390 B1 | KR20170018930 A | KR20200051937 A</t>
  </si>
  <si>
    <t>2022-07-21</t>
  </si>
  <si>
    <t>2022-05-12</t>
  </si>
  <si>
    <t>2042-05-12</t>
  </si>
  <si>
    <t>The present disclosure relates to a metaverse control server based on a user&amp;#39;s motion gesture and 3D UI. It is possible to perform an accurate process by distinguishing whether the user&amp;#39;s motion gesture is an avatar motion signal or a virtual figure control signal for environment setting in the metaverse. there is an effect</t>
  </si>
  <si>
    <t>Metaverse control server, method and program based on user's motion gesture and 3d ui</t>
  </si>
  <si>
    <t>Oh, Sung Hoon</t>
  </si>
  <si>
    <t>KR20220058333A</t>
  </si>
  <si>
    <t>a communication unit that receives an image obtained for the real world and provides a metaverse image generated as a digital twin for the real world to a virtual reality device;an object recognition unit recognizing at least one real object in the received real world image and loading real world information of the recognized real object;a rendering unit generating a virtual object based on the real object recognition result and real world information loaded with respect to the recognized real object to render the metaverse image;a storage unit storing a 3D UI (3-Dimensional User Interface)-based virtual figure in which different control commands for environment settings in the metaverse are assigned to each of a plurality of surfaces;a determination unit configured to determine at least one of an operation of a virtual avatar character in the metaverse and a control command of the virtual figure based on a motion gesture of a user of the virtual reality device;and a processor configured to render the metaverse image so that the virtual avatar character is operated based on the determination result or to control environment settings in the metaverse to be made, wherein the processor is configured to: determines the motion of the avatar in the metaverse based on the motion coordinates of The metaverse image is rendered so that the virtual figure is displayed in the provided metaverse image, and the storage unit is based on the real-value information on at least one real object in the real world and the real-value information on the real object. a value calculation model for calculating virtual value information to be applied to the metaverse and an importance in the metaverse set for each virtual object included in the metaverse are stored, the processor comprising:Calculate virtual value information on a virtual asset of the virtual object by using the value calculation model, and reflect real-world information of the recognized real object in the real world of the recognized real object calculating a first importance, and calculating a second importance of the virtual object based on the virtual value information calculated for the virtual object and the first importance calculated for the real object corresponding to the virtual object, storing the calculated second importance in the storage unit as the importance in the metaverse of the virtual object, among the virtual objects displayed in the metaverse image, in a position that does not overlap with a virtual object having a preset importance or higher A metaverse control server based on a user's motion gesture and 3D UI, characterized in that it determines a rendering position of a virtual figure.</t>
  </si>
  <si>
    <t>a communication unit that receives an image obtained for the real world and provides a metaverse image generated as a digital twin for the real world to a virtual reality device;an object recognition unit recognizing at least one real object in the received real world image and loading real world information of the recognized real object;a rendering unit generating a virtual object based on the real object recognition result and real world information loaded with respect to the recognized real object to render the metaverse image;a storage unit storing a 3D UI (3-Dimensional User Interface)-based virtual figure in which different control commands for environment settings in the metaverse are assigned to each of a plurality of surfaces;a determination unit configured to determine at least one of an operation of a virtual avatar character in the metaverse and a control command of the virtual figure based on a motion gesture of a user of the virtual reality device;
and a processor configured to render the metaverse image so that the virtual avatar character is operated based on the determination result or to control environment settings in the metaverse to be made, wherein the processor is configured to: determines the motion of the avatar in the metaverse based on the motion coordinates of The metaverse image is rendered so that the virtual figure is displayed in the provided metaverse image, and the storage unit is based on the real-value information on at least one real object in the real world and the real-value information on the real object. a value calculation model for calculating virtual value information to be applied to the metaverse and an importance in the metaverse set for each virtual object included in the metaverse are stored, the processor comprising:
Calculate virtual value information on a virtual asset of the virtual object by using the value calculation model, and reflect real-world information of the recognized real object in the real world of the recognized real object calculating a first importance, and calculating a second importance of the virtual object based on the virtual value information calculated for the virtual object and the first importance calculated for the real object corresponding to the virtual object, storing the calculated second importance in the storage unit as the importance in the metaverse of the virtual object, among the virtual objects displayed in the metaverse image, in a position that does not overlap with a virtual object having a preset importance or higher A metaverse control server based on a user's motion gesture and 3D UI, characterized in that it determines a rendering position of a virtual figure.
The method of claim 1 , wherein the determination unit determines the motion of the avatar in the metaverse based on the motion coordinates of the virtual reality device, and the processor determines that the motion gesture does not correspond to the motion of the avatar in the metaverse. and rendering the metaverse image so that the virtual figure is displayed in the metaverse image provided to the virtual reality device when it corresponds to a call operation for the virtual figure without the user's motion gesture and 3D UI based metaverse control server.
The virtual figure of claim 2, wherein the virtual figure is rotatable in the metaverse based on at least one axis by an operation of the virtual reality device, and is included in the virtual figure for each of a plurality of preset rotation states. User's motion gesture and 3D UI-based, characterized in that different control signals can be set on the side of metaverse control server.
The method of claim 3, wherein the processor determines that the motion gesture of the virtual reality device does not correspond to a control signal input to a specific surface of the virtual figure displayed in the metaverse image, but corresponds to rotation of the virtual figure. In this case, the rotation direction and degree of rotation of the virtual figure are determined based on the motion direction, range, and motion acceleration included in the motion gesture of the virtual reality device, and in the metaverse image according to the determined rotation direction and rotation strength. A metaverse control server based on a user's motion gesture and 3D UI, characterized in that it renders the virtual figure.
According to claim 2, wherein the processor, based on the coordinates of the calling operation and the position of at least one virtual object included in the metaverse image that is provided to the virtual reality device in association with the viewpoint of the avatar, A metaverse control server based on a user's motion gesture and 3D UI, characterized in that it determines the rendering position of the virtual figure in the bus image.
The method of claim 5, wherein, when at least one instance in the metaverse image is being displayed, the processor determines a rendering position of the virtual figure from among positions that do not overlap with the displayed instance. A metaverse control server based on user's motion gestures and 3D UI.
The method of claim 5 , wherein the processor is further configured to: If there is at least one other avatar interacting with the user's avatar in the metaverse image, the virtual avatar is located in a position that does not overlap with the existing at least one other avatar. A metaverse control server based on the user's motion gesture and 3D UI, characterized in that it determines the rendering position of the figure.
delete
A method performed by a server, the method comprising: receiving an image acquired for the real world;an object recognition step of recognizing at least one real object in the received real-world image and loading real-world information of the recognized real object;rendering a metaverse image by generating a virtual object based on the real object recognition result and real world information loaded with respect to the recognized real object;providing an image of the metaverse generated as a digital twin for the real world to a user's virtual reality device;determining at least one of a motion of a virtual avatar character in a metaverse and a control command of a virtual figure based on a user motion gesture of the virtual reality device;
and rendering the metaverse image so that the virtual avatar operates or controlling environment settings in the metaverse to be set based on the result of the determination, wherein the server is configured to display the metaverse on each of a plurality of sides. A 3D UI (3-Dimensional User Interface)-based virtual figure to which different control commands for environment setting are assigned is stored, and the server, when determining an operation of the virtual avatar character, operates coordinates of the virtual reality device determines the operation of the avatar in the metaverse based on Rendering the metaverse image so that the virtual figure is displayed in the metaverse image, and real-value information about at least one real object in the real world;
A value calculation model for calculating virtual value information to be applied to the metaverse based on the real value information on the real object and the importance in the metaverse set for each virtual object included in the metaverse are stored, , calculates virtual value information on the virtual asset of the virtual object using the value calculation model, and reflects the real world information of the recognized real object in the real world of the recognized real object calculating a first importance of the virtual object, and calculating a second importance of the virtual object based on the virtual value information calculated for the virtual object and the first importance calculated for the real object corresponding to the virtual object, , storing the calculated second importance as the importance in the metaverse of the virtual object,
A user's motion gesture and 3D UI-based metaverse control, characterized in that the rendering position of the virtual figure is determined from among the virtual objects displayed in the metaverse image that do not overlap with a virtual object of a preset importance or higher. Way.
A computer-readable recording medium in which a program for executing the method of claim 9 is stored in combination with a computer which is hardware.</t>
  </si>
  <si>
    <t>G06F0003010000</t>
  </si>
  <si>
    <t>G06F00301000</t>
  </si>
  <si>
    <t>G06F00301000 | G06T01340000 | G06T01900000</t>
  </si>
  <si>
    <t>KR102424123B1</t>
  </si>
  <si>
    <t>I-000228315470</t>
  </si>
  <si>
    <t>20 years from 2022-05-12 (file date)</t>
  </si>
  <si>
    <t>https://patentscout.innography.com/share/wBgDw2ZhRSnoUGx6nE6DFw%3D%3D</t>
  </si>
  <si>
    <t>2022-06-29-DECISION TO GRANT OR REGISTRATION OF PATENT RIGHT|2022-07-19-WRITTEN DECISION TO GRANT</t>
  </si>
  <si>
    <t>https://patentscout.innography.com/share/wBgDw2ZhRSnoUGx6nE6DFw%3D%3D/download</t>
  </si>
  <si>
    <t>https://v3.espacenet.com/publicationDetails/biblio?CC=KR&amp;NR=102424123B1&amp;KC=B1&amp;FT=D&amp;date=20220721&amp;DB=EPODOC&amp;locale=</t>
  </si>
  <si>
    <t>KR20102424123 B1</t>
  </si>
  <si>
    <t>digital twin</t>
  </si>
  <si>
    <t>total | 建模 | 演化计算 | 通信</t>
  </si>
  <si>
    <t>Shi  Yanfen</t>
  </si>
  <si>
    <t>2022-11-14</t>
  </si>
  <si>
    <t>1.  a communication unit that receives an image obtained for the real world and provides a metaverse image generated as a digital twin for the real world to a virtual reality device;an object recognition unit recognizing at least one real object in the received real world image and loading real world information of the recognized real object;a rendering unit generating a virtual object based on the real object recognition result and real world information loaded with respect to the recognized real object to render the metaverse image;a storage unit storing a 3D UI (3 -Dimensional User Interface)-based virtual figure in which different control commands for environment settings in the metaverse are assigned to each of a plurality of surfaces;a determination unit configured to determine at least one of an operation of a virtual avatar character in the metaverse and a control command of the virtual figure based on a motion gesture of a user of the virtual reality device;
and a processor configured to render the metaverse image so that the virtual avatar character is operated based on the determination result or to control environment settings in the metaverse to be made, wherein the processor is configured to: determines the motion of the avatar in the metaverse based on the motion coordinates of The metaverse image is rendered so that the virtual figure is displayed in the provided metaverse image, and the storage unit is based on the real-value information on at least one real object in the real world and the real-value information on the real object. a value calculation model for calculating virtual value information to be applied to the metaverse and an importance in the metaverse set for each virtual object included in the metaverse are stored, the processor comprising:
Calculate virtual value information on a virtual asset of the virtual object by using the value calculation model, and reflect real-world information of the recognized real object in the real world of the recognized real object calculating a first importance, and calculating a second importance of the virtual object based on the virtual value information calculated for the virtual object and the first importance calculated for the real object corresponding to the virtual object, storing the calculated second importance in the storage unit as the importance in the metaverse of the virtual object, among the virtual objects displayed in the metaverse image, in a position that does not overlap with a virtual object having a preset importance or higher A metaverse control server based on a user's motion gesture and 3D UI, characterized in that it determines a rendering position of a virtual figure.</t>
  </si>
  <si>
    <t>9.  A method performed by a server, the method comprising: receiving an image acquired for the real world;an object recognition step of recognizing at least one real object in the received real-world image and loading real-world information of the recognized real object;rendering a metaverse image by generating a virtual object based on the real object recognition result and real world information loaded with respect to the recognized real object;providing an image of the metaverse generated as a digital twin for the real world to a user's virtual reality device;determining at least one of a motion of a virtual avatar character in a metaverse and a control command of a virtual figure based on a user motion gesture of the virtual reality device;
and rendering the metaverse image so that the virtual avatar operates or controlling environment settings in the metaverse to be set based on the result of the determination, wherein the server is configured to display the metaverse on each of a plurality of sides. A 3D UI (3 -Dimensional User Interface)-based virtual figure to which different control commands for environment setting are assigned is stored, and the server, when determining an operation of the virtual avatar character, operates coordinates of the virtual reality device determines the operation of the avatar in the metaverse based on Rendering the metaverse image so that the virtual figure is displayed in the metaverse image, and real-value information about at least one real object in the real world;
A value calculation model for calculating virtual value information to be applied to the metaverse based on the real value information on the real object and the importance in the metaverse set for each virtual object included in the metaverse are stored, , calculates virtual value information on the virtual asset of the virtual object using the value calculation model, and reflects the real world information of the recognized real object in the real world of the recognized real object calculating a first importance of the virtual object, and calculating a second importance of the virtual object based on the virtual value information calculated for the virtual object and the first importance calculated for the real object corresponding to the virtual object, , storing the calculated second importance as the importance in the metaverse of the virtual object,
A user's motion gesture and 3D UI-based metaverse control, characterized in that the rendering position of the virtual figure is determined from among the virtual objects displayed in the metaverse image that do not overlap with a virtual object of a preset importance or higher. Way.</t>
  </si>
  <si>
    <t>KR20140036555 A | KR20160055308 A | KR20200043658 A | KR20210036212 A</t>
  </si>
  <si>
    <t>2022-07-18</t>
  </si>
  <si>
    <t>2022-02-04</t>
  </si>
  <si>
    <t>2022-02-08</t>
  </si>
  <si>
    <t>2042-02-08</t>
  </si>
  <si>
    <t>According to various embodiments a job search platform providing server that provides a matching service between job seekers and a job seeker in charge of a company registers the job seeker as a member based on the job search information obtained from the job seeker terminal of the job seeker a member management unit for registering the recruiting person in charge as a member based on the job offer information obtained from the person in charge terminal; a job search matching unit for matching the job seeker with the job seeker based on the job information and the job search information; A metaverse space is created based on the floor plan and floor height information of the corporate building obtained from the recruiter terminal a virtual object corresponding to an object in real space is generated and the generated metaverse space and the virtual object are used as the job seeker a metaverse service providing unit outputting each of the first device and the second device of the hiring manager; an object identification unit for identifying the object to determine a type of the object; and transmitting the question image obtained from the second device to the first device obtaining an answer voice signal of the job seeker based on an audio system mounted on the first device and applying the obtained answer voice signal to the second device 2 It may include an interview process unit that outputs through a speaker mounted on the device.</t>
  </si>
  <si>
    <t>Method and apparatus for providing a job recruiting platform based on metaverse service</t>
  </si>
  <si>
    <t>Crossjob</t>
  </si>
  <si>
    <t>Crossject Sa</t>
  </si>
  <si>
    <t>Crossject SA</t>
  </si>
  <si>
    <t>KR20220016053A</t>
  </si>
  <si>
    <t>In the job search platform providing server that provides a matching service between job seekers and a company's hiring manager, the job seeker is registered as a member based on the job search information obtained from the job seeker's terminal, and obtained from the job search manager's terminal a member management unit for registering the person in charge of the job offer as a member based on the job offer information;a job search matching unit for matching the job seeker with the job seeker based on the job information and the job search information;A metaverse space is generated based on the floor plan and floor height information of a corporate building obtained from the recruiter terminal, and a virtual object corresponding to an object of a real space corresponding to the inside of the company is generated, and the generated metaverse space and a metaverse service providing unit that outputs the virtual object to a first device that is a metaverse device of the job seeker and a second device that is a metaverse device of the job seeker.an object identification unit that identifies the object in the real space corresponding to the inside of the company, determines the type of the object, and provides information on the determined type of the object to the metaverse service provider; Transmitting the question image obtained from the second device to the first device, obtaining an answer voice signal of the job seeker based on an audio system mounted on the first device, and applying the obtained answer voice signal to the second device an interview process unit that outputs through a speaker mounted on the device;and a job search interest determination unit configured to determine a job search interest level of the job seeker in the company based on a movement corresponding to the job seeker's avatar in the metaverse space, wherein the job search interest level determination unit is configured in the generated metaverse space. Tracks the path traveled by the job seeker's avatar, individual spaces where the job seeker's avatar has moved within the metaverse space, the distance the job seeker's avatar moves in each of the individual spaces, and each of the individual spaces Based on the time the job seeker's avatar stays, the job seeker's interest in the company is determined, and the job search matching unit is, when the determined job search interest is greater than or equal to a preset reference level of interest, a recommended identifier in the job seeker information of the job seeker including, listing the job seekers on the company's recommended job seekers list, and providing the job seekers list with the job seekers listed up to the hiring manager terminal, and the metaverse service providing unit,Information on the type of department for each office obtained from the recruiting officer terminal and determining the use of the space for each individual space of the metaverse space based on the information on the use of each space within the company obtained from the recruiting officer terminal determines the type of department for each office based on information on the job seeker terminal, and the information on the department environment includes information about the average attendance time, average departure time, and average working time of the department, and business delivery including the department's business contents When a voice signal is output through the speaker of the first device, a business approval signal corresponding to the business delivery voice signal is obtained from the first device, and the business approval signal is obtained,A job search platform providing server that provides a job list including the job description of the department to the job seeker terminal.</t>
  </si>
  <si>
    <t>In the job search platform providing server that provides a matching service between job seekers and a company's hiring manager, the job seeker is registered as a member based on the job search information obtained from the job seeker's terminal, and obtained from the job search manager's terminal a member management unit for registering the person in charge of the job offer as a member based on the job offer information;a job search matching unit for matching the job seeker with the job seeker based on the job information and the job search information;A metaverse space is generated based on the floor plan and floor height information of a corporate building obtained from the recruiter terminal, and a virtual object corresponding to an object of a real space corresponding to the inside of the company is generated, and the generated metaverse space and a metaverse service providing unit that outputs the virtual object to a first device that is a metaverse device of the job seeker and a second device that is a metaverse device of the job seeker.an object identification unit that identifies the object in the real space corresponding to the inside of the company, determines the type of the object, and provides information on the determined type of the object to the metaverse service provider; Transmitting the question image obtained from the second device to the first device, obtaining an answer voice signal of the job seeker based on an audio system mounted on the first device, and applying the obtained answer voice signal to the second device an interview process unit that outputs through a speaker mounted on the device;
and a job search interest determination unit configured to determine a job search interest level of the job seeker in the company based on a movement corresponding to the job seeker's avatar in the metaverse space, wherein the job search interest level determination unit is configured in the generated metaverse space. Tracks the path traveled by the job seeker's avatar, individual spaces where the job seeker's avatar has moved within the metaverse space, the distance the job seeker's avatar moves in each of the individual spaces, and each of the individual spaces Based on the time the job seeker's avatar stays, the job seeker's interest in the company is determined, and the job search matching unit is, when the determined job search interest is greater than or equal to a preset reference level of interest, a recommended identifier in the job seeker information of the job seeker including, listing the job seekers on the company's recommended job seekers list, and providing the job seekers list with the job seekers listed up to the hiring manager terminal, and the metaverse service providing unit,
Information on the type of department for each office obtained from the recruiting officer terminal and determining the use of the space for each individual space of the metaverse space based on the information on the use of each space within the company obtained from the recruiting officer terminal determines the type of department for each office based on information on the job seeker terminal, and the information on the department environment includes information about the average attendance time, average departure time, and average working time of the department, and business delivery including the department's business contents When a voice signal is output through the speaker of the first device, a business approval signal corresponding to the business delivery voice signal is obtained from the first device, and the business approval signal is obtained,
A job search platform providing server that provides a job list including the job description of the department to the job seeker terminal.
The method according to claim 1, wherein the metaverse service providing unit obtains an input signal indicating the current location of the recruiter from the recruiter terminal, and through a global positioning system (GPS) function mounted on the second device, the recruiter obtain information on the current location of the avatar, obtain direction information of the job offer manager from the second device, and locate the current location of the avatar corresponding to the job manager based on the direction information in the metaverse space; Real-time spatial information is generated based on real-time distance data acquired from a distance sensor mounted on the second device and real-time image data acquired from an image sensor mounted on the second device, and the generated real-time spatial information and the meta comparing the bus space, maintaining an overlapping part in the real-time spatial information and the metaverse space, and transforming the metaverse space based on the real-time spatial information for a different part,
A server that provides a job search platform.
The method according to claim 2, wherein the object identification unit, but identifies the object based on the point coordinates of the distance data obtained from the distance detection sensor, the pixel value of the image data obtained from the image sensor, the 360-degree rotatable distance detection sensor and Obtaining point cloud information corresponding to an object within a sensing radius of the distance sensing sensor through the image sensor, the point cloud information is mapped to correspond to an azimuth of the sensing radius of the distance sensing sensor, and the point cloud information is Including distance information from the distance sensor to the object, job search platform providing server.
delete
delete
A method of providing a matching service between a job seeker and a job seeker in charge of a company, wherein the job seeker is registered as a member based on job search information obtained from the job seeker terminal of the job seeker, and based on the job information obtained from the job seeker's terminal in charge of the job seeker to register the hiring manager as a member;matching the job seeker with the job seeker based on the job search information and the job search information;generating a metaverse space based on the floor plan and floor height information of the corporate building obtained from the recruiter terminal;generating a virtual object corresponding to an object in a real space corresponding to the inside of the enterprise;outputting the generated metaverse space and the virtual object to a first device that is a metaverse device of the job seeker and a second device that is a metaverse device of the job seeker, respectively;determining the type of the object by identifying the object in a real space corresponding to the inside of the enterprise;transmitting the question image obtained from the second device to the first device;obtaining an answer voice signal of the job seeker based on the audio system mounted on the first device;outputting the obtained answer voice signal through a speaker mounted in the second device;tracking a path traveled by the job seeker's avatar within the generated metaverse space;Based on the individual spaces in which the job seeker's avatar moved within the metaverse space, the distance the job seeker's avatar moved in each of the individual spaces, and the time the job seeker's avatar stayed in each of the individual spaces, the determining the job seeker's interest in job search for the company;When the determined level of interest in the job search is equal to or greater than a preset reference level of interest, a recommended identifier is included in the job seeker information of the job seeker, the job seeker is listed in the company's recommended job seeker list, and the job seeker is listed in the job seeker terminal. providing a list of recommended job seekers;determining the use of the space for each individual space of the metaverse space based on the information on the use for each space inside the company obtained from the recruiter terminal;determining the type of the department for each office based on the information on the type of the department for each office obtained from the recruiting person in charge terminal;tracking the movement path of the job seeker in the metaverse space;When the job seeker enters the specific individual space, providing information on the department environment of the department corresponding to the specific individual space to the job seeker terminal;outputting a work delivery voice signal including the work contents of the department through a speaker of the first device;obtaining a business approval signal corresponding to the business delivery voice signal from the first device; and providing a work list including work contents of the department to the job seeker terminal when the work acceptance signal is obtained, wherein the information about the department environment includes an average attendance time of the department, an average leave time, A method comprising information regarding average hours worked.
A non-transitory recording medium in which a program for executing the method according to claim 6 is recorded and readable by a computer.
A computer program recorded in a non-transitory recording medium to execute the method according to claim 6 in the job search platform providing server.
A system for providing a job search platform based on a metaverse service, comprising: a job seeker's terminal;a first device which is the metaverse device of the job seeker;Recruitment officer terminal of the company's recruitment officer;a second device that is a metaverse device of the hiring manager; and a job search platform providing server that is interlocked with the job seeker terminal, the job search manager terminal, the first device and the second device, and provides a matching service between the job seeker and the job manager of the company, The platform providing server may include: a member management unit that registers the job seeker as a member based on the job search information obtained from the job seeker terminal, and registers the job seeker as a member based on the job search information obtained from the job seeker terminal;a job search matching unit that matches the job seeker with the job seeker based on the job information and the job search information;A metaverse space is generated based on the floor plan and floor height information of a corporate building obtained from the recruiter terminal, and a virtual object corresponding to an object of a real space corresponding to the inside of the company is generated, and the generated metaverse space and a metaverse service providing unit that outputs the virtual object to a first device that is a metaverse device of the job seeker and a second device that is a metaverse device of the job seeker.an object identification unit that identifies the object in the real space corresponding to the inside of the company, determines the type of the object, and provides information on the determined type of the object to the metaverse service provider;Transmitting the question image obtained from the second device to the first device, obtaining an answer voice signal of the job seeker based on an audio system mounted on the first device, and applying the obtained answer voice signal to the second device an interview process unit that outputs through a speaker mounted on the device;
and a job search interest determination unit configured to determine a job search interest level of the job seeker in the company based on a movement corresponding to the job seeker's avatar in the metaverse space, wherein the job search interest level determination unit is configured in the generated metaverse space. Tracks the path traveled by the job seeker's avatar, individual spaces where the job seeker's avatar has moved within the metaverse space, the distance the job seeker's avatar moves in each of the individual spaces, and each of the individual spaces Based on the time the job seeker's avatar stays, the job seeker's interest in the company is determined, and the job search matching unit is, when the determined job search interest is greater than or equal to a preset reference level of interest, a recommended identifier in the job seeker information of the job seeker including, listing the job seekers on the company's recommended job seekers list, and providing the job seekers list with the job seekers listed up to the hiring manager terminal, and the metaverse service providing unit,
Information on the type of department for each office obtained from the recruiting officer terminal and determining the use of the space for each individual space of the metaverse space based on the information on the use of each space within the company obtained from the recruiting officer terminal determines the type of department for each office based on information on the job seeker terminal, and the information on the department environment includes information about the average attendance time, average departure time, and average working time of the department, and business delivery including the department's business contents When a voice signal is output through the speaker of the first device, a business approval signal corresponding to the business delivery voice signal is obtained from the first device, and the business approval signal is obtained,
A system for providing a job search platform for providing a job list including the job description of the department to the job seeker terminal.</t>
  </si>
  <si>
    <t>Choi, Sang Hwan|Ryu, Myoung Han|Lee, Young Seo|Sa, Jae Bin|Choi, Min Hyeok|Kang, Yoon Jung</t>
  </si>
  <si>
    <t>G06Q0010100000</t>
  </si>
  <si>
    <t>G06Q01010000</t>
  </si>
  <si>
    <t>G06Q01010000 | G01S01901000 | G06Q01006000 | G06Q05010000 | G06T00750000 | G06T01340000 | G06T01900000</t>
  </si>
  <si>
    <t>KR102420840B1|KR102456158B1|KR102456160B1</t>
  </si>
  <si>
    <t>KR102420840 B1 | KR102456158 B1 | KR102456160 B1</t>
  </si>
  <si>
    <t>I-000228587816</t>
  </si>
  <si>
    <t>20 years from 2022-02-08 (file date)</t>
  </si>
  <si>
    <t>https://patentscout.innography.com/share/ZEUPCnAC8dZNaBGbT4FSZA%3D%3D</t>
  </si>
  <si>
    <t>2022-07-11-WRITTEN DECISION TO GRANT|2022-07-11-DIVISIONAL APPLICATION OF PATENT</t>
  </si>
  <si>
    <t>https://patentscout.innography.com/share/ZEUPCnAC8dZNaBGbT4FSZA%3D%3D/download</t>
  </si>
  <si>
    <t>https://v3.espacenet.com/publicationDetails/biblio?CC=KR&amp;NR=102420840B1&amp;KC=B1&amp;FT=D&amp;date=20220718&amp;DB=EPODOC&amp;locale=</t>
  </si>
  <si>
    <t>KR20102420840 B1</t>
  </si>
  <si>
    <t>1.  In the job search platform providing server that provides a matching service between job seekers and a company's hiring manager, the job seeker is registered as a member based on the job search information obtained from the job seeker's terminal, and obtained from the job search manager's terminal a member management unit for registering the person in charge of the job offer as a member based on the job offer information;a job search matching unit for matching the job seeker with the job seeker based on the job information and the job search information;A metaverse space is generated based on the floor plan and floor height information of a corporate building obtained from the recruiter terminal, and a virtual object corresponding to an object of a real space corresponding to the inside of the company is generated, and the generated metaverse space and a metaverse service providing unit that outputs the virtual object to a first device that is a metaverse device of the job seeker and a second device that is a metaverse device of the job seeker.an object identification unit that identifies the object in the real space corresponding to the inside of the company, determines the type of the object, and provides information on the determined type of the object to the metaverse service provider; Transmitting the question image obtained from the second device to the first device, obtaining an answer voice signal of the job seeker based on an audio system mounted on the first device, and applying the obtained answer voice signal to the second device an interview process unit that outputs through a speaker mounted on the device;
and a job search interest determination unit configured to determine a job search interest level of the job seeker in the company based on a movement corresponding to the job seeker's avatar in the metaverse space, wherein the job search interest level determination unit is configured in the generated metaverse space. Tracks the path traveled by the job seeker's avatar, individual spaces where the job seeker's avatar has moved within the metaverse space, the distance the job seeker's avatar moves in each of the individual spaces, and each of the individual spaces Based on the time the job seeker's avatar stays, the job seeker's interest in the company is determined, and the job search matching unit is, when the determined job search interest is greater than or equal to a preset reference level of interest, a recommended identifier in the job seeker information of the job seeker including, listing the job seekers on the company's recommended job seekers list, and providing the job seekers list with the job seekers listed up to the hiring manager terminal, and the metaverse service providing unit,
Information on the type of department for each office obtained from the recruiting officer terminal and determining the use of the space for each individual space of the metaverse space based on the information on the use of each space within the company obtained from the recruiting officer terminal determines the type of department for each office based on information on the job seeker terminal, and the information on the department environment includes information about the average attendance time, average departure time, and average working time of the department, and business delivery including the department's business contents When a voice signal is output through the speaker of the first device, a business approval signal corresponding to the business delivery voice signal is obtained from the first device, and the business approval signal is obtained,
A job search platform providing server that provides a job list including the job description of the department to the job seeker terminal.</t>
  </si>
  <si>
    <t>6.  A method of providing a matching service between a job seeker and a job seeker in charge of a company, wherein the job seeker is registered as a member based on job search information obtained from the job seeker terminal of the job seeker, and based on the job information obtained from the job seeker's terminal in charge of the job seeker to register the hiring manager as a member;matching the job seeker with the job seeker based on the job search information and the job search information;generating a metaverse space based on the floor plan and floor height information of the corporate building obtained from the recruiter terminal;generating a virtual object corresponding to an object in a real space corresponding to the inside of the enterprise;outputting the generated metaverse space and the virtual object to a first device that is a metaverse device of the job seeker and a second device that is a metaverse device of the job seeker, respectively;determining the type of the object by identifying the object in a real space corresponding to the inside of the enterprise;transmitting the question image obtained from the second device to the first device;obtaining an answer voice signal of the job seeker based on the audio system mounted on the first device;outputting the obtained answer voice signal through a speaker mounted in the second device;tracking a path traveled by the job seeker's avatar within the generated metaverse space;Based on the individual spaces in which the job seeker's avatar moved within the metaverse space, the distance the job seeker's avatar moved in each of the individual spaces, and the time the job seeker's avatar stayed in each of the individual spaces, the determining the job seeker's interest in job search for the company;When the determined level of interest in the job search is equal to or greater than a preset reference level of interest, a recommended identifier is included in the job seeker information of the job seeker, the job seeker is listed in the company's recommended job seeker list, and the job seeker is listed in the job seeker terminal. providing a list of recommended job seekers;determining the use of the space for each individual space of the metaverse space based on the information on the use for each space inside the company obtained from the recruiter terminal;determining the type of the department for each office based on the information on the type of the department for each office obtained from the recruiting person in charge terminal;tracking the movement path of the job seeker in the metaverse space;When the job seeker enters the specific individual space, providing information on the department environment of the department corresponding to the specific individual space to the job seeker terminal;outputting a work delivery voice signal including the work contents of the department through a speaker of the first device;obtaining a business approval signal corresponding to the business delivery voice signal from the first device; and providing a work list including work contents of the department to the job seeker terminal when the work acceptance signal is obtained, wherein the information about the department environment includes an average attendance time of the department, an average leave time, A method comprising information regarding average hours worked.</t>
  </si>
  <si>
    <t>9.  A system for providing a job search platform based on a metaverse service, comprising: a job seeker's terminal;a first device which is the metaverse device of the job seeker;Recruitment officer terminal of the company's recruitment officer;a second device that is a metaverse device of the hiring manager; and a job search platform providing server that is interlocked with the job seeker terminal, the job search manager terminal, the first device and the second device, and provides a matching service between the job seeker and the job manager of the company, The platform providing server may include: a member management unit that registers the job seeker as a member based on the job search information obtained from the job seeker terminal, and registers the job seeker as a member based on the job search information obtained from the job seeker terminal;a job search matching unit that matches the job seeker with the job seeker based on the job information and the job search information;A metaverse space is generated based on the floor plan and floor height information of a corporate building obtained from the recruiter terminal, and a virtual object corresponding to an object of a real space corresponding to the inside of the company is generated, and the generated metaverse space and a metaverse service providing unit that outputs the virtual object to a first device that is a metaverse device of the job seeker and a second device that is a metaverse device of the job seeker.an object identification unit that identifies the object in the real space corresponding to the inside of the company, determines the type of the object, and provides information on the determined type of the object to the metaverse service provider;Transmitting the question image obtained from the second device to the first device, obtaining an answer voice signal of the job seeker based on an audio system mounted on the first device, and applying the obtained answer voice signal to the second device an interview process unit that outputs through a speaker mounted on the device;
and a job search interest determination unit configured to determine a job search interest level of the job seeker in the company based on a movement corresponding to the job seeker's avatar in the metaverse space, wherein the job search interest level determination unit is configured in the generated metaverse space. Tracks the path traveled by the job seeker's avatar, individual spaces where the job seeker's avatar has moved within the metaverse space, the distance the job seeker's avatar moves in each of the individual spaces, and each of the individual spaces Based on the time the job seeker's avatar stays, the job seeker's interest in the company is determined, and the job search matching unit is, when the determined job search interest is greater than or equal to a preset reference level of interest, a recommended identifier in the job seeker information of the job seeker including, listing the job seekers on the company's recommended job seekers list, and providing the job seekers list with the job seekers listed up to the hiring manager terminal, and the metaverse service providing unit,
Information on the type of department for each office obtained from the recruiting officer terminal and determining the use of the space for each individual space of the metaverse space based on the information on the use of each space within the company obtained from the recruiting officer terminal determines the type of department for each office based on information on the job seeker terminal, and the information on the department environment includes information about the average attendance time, average departure time, and average working time of the department, and business delivery including the department's business contents When a voice signal is output through the speaker of the first device, a business approval signal corresponding to the business delivery voice signal is obtained from the first device, and the business approval signal is obtained,
A system for providing a job search platform for providing a job list including the job description of the department to the job seeker terminal.</t>
  </si>
  <si>
    <t>US5546557 A | US5802296 A | US6175842 B1 | US6785708 B1 | US20030065721 A1 | US20040210634 A1 | US20050055306 A1 | US20050164795 A1 | US20050221880 A1 | US20060135237 A1 | US20070207860 A1</t>
  </si>
  <si>
    <t>US9692721 B2 | US9724610 B2 | US9878251 B2 | WO2018106327 A1 | US10404644 B2 | US10447624 B2 | US10659288 B2 | US10817066 B2 | US10821357 B1 | US10902437 B2 | CN109891369 A | US11451431 B2 | US8781515 B2 | US8849917 B2 | US8893000 B2 | US8893049 B2 | AU2012301417 B2 | US20150019729 A1 | US9083654 B2 | US9310955 B2 | US20140289340 A1 | US20140380196 A1 | US20140344761 A1 | US8564621 B2 | WO2013032735 A1 | US8504615 B2 | US8510253 B2 | US20130275869 A1 | US20090254617 A1 | US20090313085 A1 | US20100318491 A1 | US20110055136 A1 | US20110055732 A1 | US20120038667 A1 | US20120151060 A1</t>
  </si>
  <si>
    <t>Jones Angela Richards; Lyle Ruthie D; Mallempatl Vandana</t>
  </si>
  <si>
    <t xml:space="preserve">A computer program product comprising a computer useable storage medium to store a computer readable program that, when executed on a computer, causes the computer to perform operations comprising:
open a group link connection in response to a request from a user to open the group link connection, wherein the user is designated as a leader of a linked group associated with the group link connection, wherein the linked group comprises a plurality of linked users;
control an action of an avatar associated with the user in response to an input command by the user; and
control an action of another avatar of another user of the linked group in response to the input command by the user.
</t>
  </si>
  <si>
    <t>1. A computer program product comprising a computer useable storage medium to store a computer readable program that, when executed on a computer, causes the computer to perform operations comprising:
open a group link connection in response to a request from a user to open the group link connection, wherein the user is designated as a leader of a linked group associated with the group link connection, wherein the linked group comprises a plurality of linked users;
control an action of an avatar associated with the user in response to an input command by the user; and
control an action of another avatar of another user of the linked group in response to the input command by the user.
2. The computer program product of claim 1, wherein the computer readable program, when executed on the computer, causes the computer to perform operations to send a group link invitation from the leader of the linked group to the other user to join the linked group.
3. The computer program product of claim 2, wherein the computer readable program, when executed on the computer, causes the computer to perform operations to link the other user to the group link connection in response to an acceptance by the other user of the group link invitation to join the linked group.
4. The computer program product of claim 3, wherein the computer readable program, when executed on the computer, causes the computer to perform operations to set a group link invitation expiration to limit an acceptance period of the group link invitation.
5. The computer program product of claim 4, wherein the computer readable program, when executed on the computer, causes the computer to perform operations to set a maximum group size limit to maintain a limit on a maximum number of users allowed to join the linked group.
6. The computer program product of claim 1, wherein the computer readable program, when executed on the computer, causes the computer to perform operations to configure a group link connection profile, the group link connection profile comprising a list of the plurality of linked users of the linked group.
7. The computer program product of claim 1, wherein the computer readable program, when executed on the computer, causes the computer to perform operations to terminate the group link connection.
8. The computer program product of claim 1, wherein the computer readable program, when executed on the computer, causes the computer to perform operations to control a group movement in response to the input command by the user.
9. The computer program product of claim 1, wherein the computer readable program, when executed on the computer, causes the computer to perform operations to control the other avatar of the other user to avoid an obstacle in the path of the other avatar of the other user.
10. A metaverse system comprising:
a client computer coupled to a network;
a metaverse server coupled to the client computer, the metaverse server to host a metaverse application;
a group link engine coupled to the metaverse server, the group link engine to open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the group link engine comprising:
a group link controller to allow the leader to control an action of an avatar of at least one other user.
11. The metaverse system of claim 10, the group link engine further comprising a group link configuration engine coupled to the group link controller, the group link configuration engine to send a group link invitation to another user to join the linked group.
12. The metaverse system of claim 11, wherein the group link configuration engine is further configured to link the other user to the group link connection in response to an acceptance by the other user of the group link invitation to join the linked group.
13. The metaverse system of claim 11, wherein the group link configuration engine terminates the group link invitation in response to a user's rejection of the group link invitation.
14. The metaverse system of claim 10, the group link configuration engine is further configured to terminate the group link connection.
15. The metaverse system of claim 10, the group link controller further configured to control a group movement in response to an input command by the leader of the linked group, wherein the group movement comprises:
a cascaded group movement, wherein a user in the linked group is ranked in a predetermined order to allow a movement initiated by the leader to be performed by the leader first, and then after a predetermined delay, the user performs that movement according to the rank of the user in the linked group;
a delayed teleport, wherein a leader teleports to a new location apart from a remainder of the linked group, and after a predetermined delay, the remainder of the linked group is then teleported to the new location; or
a verified teleport, wherein a leader teleports to a new location apart from the remainder of the linked group, and the remainder of the linked group teleports to the new location in response to a verification by the leader to travel to the new location.
16. The metaverse system of claim 10, wherein the group link controller stores a plurality of group movements on a storage device in response to a request from a user in a linked group to save the plurality of group movements.
17. The metaverse system of claim 10, wherein the group link controller allows the at least one other user to decline the action that the leader initiates to control the avatar of the at least one other user.
18. A method comprising:
opening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and
controlling an action of a plurality of avatars of the linked group associated with the group link connection in response to an input command by the leader of the linked group.
19. The method of claim 18, further comprising:
sending a group link invitation to another user to join the linked group;
linking the other user to the group link connection in response to the other user accepting the group link invitation to join the linked group; and
saving a group link connection profile.
20. The method of claim 18, further comprising:
disconnecting at least temporarily a linked user from the group link connection; and
reconnecting the linked user, that temporarily disconnected from the group link connection, to the linked group.
21. The method of claim 18, further comprising:
requesting a transfer of the designation of the user as the leader of the group link connection; and
transferring the designation of the leader of the group link connection to another user of the group link connection.
22. A metaverse group link system comprising:
a leader client computer coupled to a network, the leader client computer to send a request to open a group link connection;
a leader display device to display a leader metaverse client viewer;
a group link engine coupled to a metaverse application, the group link engine to open the group link connection in response to the request to open the group link connection, wherein a user on the leader client computer is designated as a leader of a linked group associated with the group link connection;
a leader group link interface coupled to the leader client computer, the leader group link interface to facilitate configuring a group link connection profile and to send a group link invitation to another user to join the linked group;
a follower client computer coupled to the network, the follower client computer to receive the group link invitation;
a follower display device to display a follower metaverse client viewer; and
a follower group link interface coupled to the metaverse application, the follower group link interface to facilitate the other user to accept the group link invitation and to join the linked group, wherein the other user that is associated with the follower client computer is designated as a follower of the linked group associated with the group link connection.
23. The metaverse group link system of claim 22, wherein the follower of the linked group associated with the group link connection is designated as a new leader of the linked group associated with the group link connection in response to a transfer of the designation of the leader of the linked group associated with the group link connection.
24. The metaverse group link system of claim 22, wherein the follower of the group link connection at least temporarily disconnects from the group link connection and subsequently rejoins the linked group prior to expiration of the group link invitation and in response to a determination that a size of the group link connection is less than a maximum group size limit of the group link connection.
25. An apparatus, comprising:
means for establishing a linked group of metaverse users, each metaverse user associated with an avatar of a metaverse application, wherein one of the metaverse users is designated as a leader of the linked group; and
means for controlling an action of all of the avatars of the linked group in response to an action of the avatar associated with the leader of the linked group of metaverse users.</t>
  </si>
  <si>
    <t>Jones, Angela Richards|Lyle, Ruthie D|Mallempatl, Vandana</t>
  </si>
  <si>
    <t>US8990707 B2</t>
  </si>
  <si>
    <t>Application expired due to grant (US8990707 B2)</t>
  </si>
  <si>
    <t>https://patentscout.innography.com/share/t6yUQIpRc7a6Mm2FyI9E7A%3D%3D</t>
  </si>
  <si>
    <t>https://patentscout.innography.com/share/t6yUQIpRc7a6Mm2FyI9E7A%3D%3D/download</t>
  </si>
  <si>
    <t>https://ppubs.uspto.gov/pubwebapp/external.html?q=20090177977.pn.</t>
  </si>
  <si>
    <t>1. A computer program product comprising a computer useable storage medium to store a computer readable program that, when executed on a computer, causes the computer to perform operations comprising:
open a group link connection in response to a request from a user to open the group link connection, wherein the user is designated as a leader of a linked group associated with the group link connection, wherein the linked group comprises a plurality of linked users;
control an action of an avatar associated with the user in response to an input command by the user; and
control an action of another avatar of another user of the linked group in response to the input command by the user.</t>
  </si>
  <si>
    <t>10. A metaverse system comprising:
a client computer coupled to a network;
a metaverse server coupled to the client computer, the metaverse server to host a metaverse application;
a group link engine coupled to the metaverse server, the group link engine to open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the group link engine comprising:
a group link controller to allow the leader to control an action of an avatar of at least one other user.</t>
  </si>
  <si>
    <t>18. A method comprising:
opening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and
controlling an action of a plurality of avatars of the linked group associated with the group link connection in response to an input command by the leader of the linked group.</t>
  </si>
  <si>
    <t>22. A metaverse group link system comprising:
a leader client computer coupled to a network, the leader client computer to send a request to open a group link connection;
a leader display device to display a leader metaverse client viewer;
a group link engine coupled to a metaverse application, the group link engine to open the group link connection in response to the request to open the group link connection, wherein a user on the leader client computer is designated as a leader of a linked group associated with the group link connection;
a leader group link interface coupled to the leader client computer, the leader group link interface to facilitate configuring a group link connection profile and to send a group link invitation to another user to join the linked group;
a follower client computer coupled to the network, the follower client computer to receive the group link invitation;
a follower display device to display a follower metaverse client viewer; and
a follower group link interface coupled to the metaverse application, the follower group link interface to facilitate the other user to accept the group link invitation and to join the linked group, wherein the other user that is associated with the follower client computer is designated as a follower of the linked group associated with the group link connection.</t>
  </si>
  <si>
    <t>25. An apparatus, comprising:
means for establishing a linked group of metaverse users, each metaverse user associated with an avatar of a metaverse application, wherein one of the metaverse users is designated as a leader of the linked group; and
means for controlling an action of all of the avatars of the linked group in response to an action of the avatar associated with the leader of the linked group of metaverse users.</t>
  </si>
  <si>
    <t>JP2001249876 A | JP2002525753 A</t>
  </si>
  <si>
    <t>JP2014237020 A | US10659288 B2 | US11451431 B2</t>
  </si>
  <si>
    <t>2009-07-23</t>
  </si>
  <si>
    <t>2015-06-10</t>
  </si>
  <si>
    <t>2009-01-09</t>
  </si>
  <si>
    <t>&lt;P&gt;PROBLEM TO BE SOLVED: To provide a metaverse system and method for allowing a user to control a group of avatars in a metaverse application.  &lt;P&gt;SOLUTION: The metaverse system includes a client computer a metaverse server and a group link engine. The metaverse server hosts a metaverse application over a network. The client computer interfaces with the metaverse application. The group link engine opens a group link connection. A linked group associated with the group link connection includes at least two linked users. At least one user is designated as a leader of the linked group. The group link engine includes a group link controller to allow the leader to control an action of an avatar of at least one other user.  &lt;P&gt;COPYRIGHT: (C)2009JPO&amp;INPIT</t>
  </si>
  <si>
    <t>Program for controlling action of avatar, metaverse system, method, metaverse group link system, and device</t>
  </si>
  <si>
    <t>Internatl Business Mach Corp &lt;ibm&gt;</t>
  </si>
  <si>
    <t>JP2009003305A</t>
  </si>
  <si>
    <t>On the computer,  A procedure for opening a group link connection in response to a request from a user to open a group link connection, wherein the user is designated as a leader of a linked group associated with the group link connection. And wherein the linked group includes a plurality of linked users; and  In response to an input command by the user, a procedure for controlling an avatar operation associated with the user;  A program for executing a procedure for controlling an operation of an avatar of another user of the linked group in response to an input command by the user.
The program of claim 1, comprising sending a group link invitation from the leader of the linked group to another user to invite the user to join the linked group.
  3. Linking the other user to the group link connection in response to the other user accepting the group link invitation to invite to join the linked group. The program described in.
  The program according to claim 3, comprising a procedure for setting a group link solicitation end time limit for limiting an acceptance period of the group link solicitation.
  The program according to claim 4, comprising a step of setting a maximum group size upper limit value for maintaining an upper limit of a maximum number of users allowed to participate in the linked group.
  The program of claim 1, comprising the step of configuring a group link connection profile that includes a list of a plurality of linked users of the linked group.
  The program according to claim 1, comprising a procedure for terminating the group link connection.
  The program according to claim 1, comprising a procedure for controlling movement in a group in response to an input command by the user.
  The program according to claim 1, comprising a step of controlling the avatar of the other user so as to eliminate an obstacle in the course of the avatar of the other user.
A client computer coupled to the network;  A metaverse server coupled to the client computer and running a metaverse application;  A group link engine coupled to the metaverse server and opening a group link connection in response to a user request to open a group link connection, the linked link associated with the group link connection The group link engine comprising at least two linked users, wherein at least one of the linked users is designated as a leader of a linked group associated with the group link connection; ,  A metaverse system, wherein the group link engine includes a group link controller that causes the reader to control the operation of at least one other user's avatar.
  The group link engine is coupled to the group link controller and includes a group link configuration engine that sends a group link invitation to invite other users to join the linked group. Metaverse system described in.
  The group link configuration engine links the other user to the group link connection in response to the other user accepting the group link invitation to invite to join the linked group. The metaverse system of claim 11.
  The metaverse system of claim 11, wherein the group link configuration engine terminates the group link invitation in response to the user's rejection of the group link invitation.
The metaverse system of claim 10, wherein the group link configuration engine terminates the group link connection.
The group link controller controls movement in a group in response to an input command by the leader of the linked group, and movement in the group is  The users of the linked group are given a predetermined order, and the movement initiated by the leader is first performed by the leader, and after a predetermined delay, according to the order of the users in the linked group Movement of a sequential group performing the movement;  Only the leader teleports to a new location away from where there is the rest of the linked group except the leader, and after a predetermined delay, the rest of the linked group A delayed teleport that teleports to a location,  In response to the reader's verification that only the leader teleports to a new location away from where the rest of the linked group except the leader resides and teleports to the new location, the link 11. The metaverse system of claim 10, wherein the remainder of the group made up consists of any of the validated teleports that teleport to the new location.
  The group link controller stores movement in the plurality of groups in a storage device in response to a request from a user of the linked group to save movement in the plurality of groups. Item 11. The metaverse system according to Item 10.
  11. The metaverse system of claim 10, wherein the group link controller allows at least one user to decline an action initiated by the leader and controls the at least one user's avatar.
In response to a request from a user to open a group link connection, opening a group link connection, wherein the linked group associated with the group link connection comprises at least two linked users; Said step wherein at least one of said linked users is designated as a leader of a linked group associated with said group link connection;  Controlling the operation of a plurality of avatars of linked groups associated with the group link connection in response to an input command by the leader of the linked group.
Sending a group link invitation to invite other users to join the linked group;  Linking the other user to the group link connection in response to the other user accepting the group link invitation to invite to join the linked group;  19. The method of claim 18, comprising saving a group link connection profile.
Temporarily disconnecting the linked user from the group link connection;  19. Reconnecting the user temporarily disconnected from the group link connection to the linked group.
Requesting a change of designation as a leader of the group link connection;  19. The method of claim 18, comprising transferring a nomination of a leader of the group link connection to another user of the group link connection.
A reader client computer coupled to the network and sending a request to open a group link connection;  A reader display device for displaying a reader, metaverse, client and viewer;  A group link engine, coupled to a metaverse application, that opens the group link connection in response to a request to open the group link connection, wherein a user of the leader client computer The group link engine designated as the leader of the linked group associated with the link connection;  A leader group link interface coupled to the leader client computer to form a group link configuration profile and send a group link invitation to invite other users to join the linked group;  A slave client computer coupled to the network and receiving the group link invitation;  A slave display device for displaying a slave metaverse client viewer;  A slave group link interface coupled to the metaverse application and helping other users accept the group link invitation and join the linked group, associated with the slave client computer A metaverse group link system comprising: said follower group link interface wherein said other user is designated as a follower of a linked group associated with said group link connection.
  In response to a change in the designation of the leader of the linked group associated with the group link connection, the slave of the linked group associated with the group link connection is associated with the group link connection. 24. The metaverse group link system of claim 22, wherein the metaverse group link system is designated as a new leader of the linked group.
  Responding that the follower of the group link connection temporarily leaves the group link connection and then the size of the group link connection is less than the maximum group size upper limit of the group link connection 23. The metaverse group link system of claim 22, wherein the metaverse group link system reconnects to the linked group prior to the expiration date of the group link invitation.
Means for establishing a linked group of a plurality of metaverse users associated with a metaverse application avatar, wherein one of the metaverse users is designated as a leader of the linked group;  Means for controlling the actions of all avatars of the linked group in response to actions of the avatar associated with the leader of the linked group of the metaverse user.</t>
  </si>
  <si>
    <t>Jones, Angela Richards|Vandana, Mallempati|Ruthie, D Lyle</t>
  </si>
  <si>
    <t>JP5731101 B2</t>
  </si>
  <si>
    <t>JP</t>
  </si>
  <si>
    <t>G06F01300000</t>
  </si>
  <si>
    <t>G06F01300000 | A63F01312000 | G06T01740000</t>
  </si>
  <si>
    <t>$10361</t>
  </si>
  <si>
    <t>I-000091858341</t>
  </si>
  <si>
    <t>Application expired due to grant (JP5731101 B2)</t>
  </si>
  <si>
    <t>https://patentscout.innography.com/share/2o1qdodMcjyvX6oL6pWJnQ%3D%3D</t>
  </si>
  <si>
    <t>2011-11-09-WRITTEN REQUEST FOR APPLICATION EXAMINATION|2012-12-06-REPORT ON RETRIEVAL|2013-02-27-NOTIFICATION OF REASONS FOR REFUSAL|2013-03-20-WRITTEN AMENDMENT|2013-10-30-DECISION OF REFUSAL|2014-02-27-WRITTEN AMENDMENT|2014-03-06-TRANSFER OF RECONSIDERATION BY EXAMINER BEFORE APPEAL (ZENCHI)|2014-05-12-REMOVAL OF RECONSIDERATION BY EXAMINER BEFORE APPEAL (ZENCHI)|2015-02-13-WRITTEN AMENDMENT|2015-04-16-FIRST PAYMENT OF ANNUAL FEES (DURING GRANT PROCEDURE)|2015-04-17-CERTIFICATE OF PATENT OR REGISTRATION OF UTILITY MODEL</t>
  </si>
  <si>
    <t>https://patentscout.innography.com/share/2o1qdodMcjyvX6oL6pWJnQ%3D%3D/download</t>
  </si>
  <si>
    <t>https://v3.espacenet.com/publicationDetails/biblio?CC=JP&amp;NR=2009163745A&amp;KC=A&amp;FT=D&amp;date=20090723&amp;DB=EPODOC&amp;locale=</t>
  </si>
  <si>
    <t>JP2009163745 A</t>
  </si>
  <si>
    <t>上野  剛史 | 市位  嘉宏 | 太佐  種一</t>
  </si>
  <si>
    <t>JP Applications</t>
  </si>
  <si>
    <t>1. On the computer,  A procedure for opening a group link connection in response to a request from a user to open a group link connection, wherein the user is designated as a leader of a linked group associated with the group link connection. And wherein the linked group includes a plurality of linked users; and  In response to an input command by the user, a procedure for controlling an avatar operation associated with the user;  A program for executing a procedure for controlling an operation of an avatar of another user of the linked group in response to an input command by the user.</t>
  </si>
  <si>
    <t>3.   3. Linking the other user to the group link connection in response to the other user accepting the group link invitation to invite to join the linked group. The program described in.</t>
  </si>
  <si>
    <t>10. A client computer coupled to the network;  A metaverse server coupled to the client computer and running a metaverse application;  A group link engine coupled to the metaverse server and opening a group link connection in response to a user request to open a group link connection, the linked link associated with the group link connection The group link engine comprising at least two linked users, wherein at least one of the linked users is designated as a leader of a linked group associated with the group link connection; ,  A metaverse system, wherein the group link engine includes a group link controller that causes the reader to control the operation of at least one other user's avatar.</t>
  </si>
  <si>
    <t>11.   The group link engine is coupled to the group link controller and includes a group link configuration engine that sends a group link invitation to invite other users to join the linked group. Metaverse system described in.</t>
  </si>
  <si>
    <t>16.   The group link controller stores movement in the plurality of groups in a storage device in response to a request from a user of the linked group to save movement in the plurality of groups. Item 11. The metaverse system according to Item 10.</t>
  </si>
  <si>
    <t>18. In response to a request from a user to open a group link connection, opening a group link connection, wherein the linked group associated with the group link connection comprises at least two linked users; Said step wherein at least one of said linked users is designated as a leader of a linked group associated with said group link connection;  Controlling the operation of a plurality of avatars of linked groups associated with the group link connection in response to an input command by the leader of the linked group.</t>
  </si>
  <si>
    <t>20. Temporarily disconnecting the linked user from the group link connection;  19. Reconnecting the user temporarily disconnected from the group link connection to the linked group.</t>
  </si>
  <si>
    <t>22. A reader client computer coupled to the network and sending a request to open a group link connection;  A reader display device for displaying a reader, metaverse, client and viewer;  A group link engine, coupled to a metaverse application, that opens the group link connection in response to a request to open the group link connection, wherein a user of the leader client computer The group link engine designated as the leader of the linked group associated with the link connection;  A leader group link interface coupled to the leader client computer to form a group link configuration profile and send a group link invitation to invite other users to join the linked group;  A slave client computer coupled to the network and receiving the group link invitation;  A slave display device for displaying a slave metaverse client viewer;  A slave group link interface coupled to the metaverse application and helping other users accept the group link invitation and join the linked group, associated with the slave client computer A metaverse group link system comprising: said follower group link interface wherein said other user is designated as a follower of a linked group associated with said group link connection.</t>
  </si>
  <si>
    <t>25. Means for establishing a linked group of a plurality of metaverse users associated with a metaverse application avatar, wherein one of the metaverse users is designated as a leader of the linked group;  Means for controlling the actions of all avatars of the linked group in response to actions of the avatar associated with the leader of the linked group of the metaverse user.</t>
  </si>
  <si>
    <t>US5920692 A | US8026913 B2 | US8089479 B2 | US20030038805 A1 | US20040002380 A1 | US20040051745 A1 | US20040085335 A1 | US20040102245 A1 | US20070117635 A1 | US20070265091 A1 | US20070298886 A1 | US20080090659 A1 | US20080147424 A1 | US20080158242 A1 | US20080180438 A1 | US20080268961 A1 | US20090128549 A1 | US20090237518 A1 | US20090254222 A1 | US20090262984 A1 | US20090285444 A1 | US20100060661 A1 | US20110007069 A1 | US20110066928 A1 | US20110210962 A1</t>
  </si>
  <si>
    <t>2015-03-05</t>
  </si>
  <si>
    <t>2018-01-23</t>
  </si>
  <si>
    <t>2009-11-09</t>
  </si>
  <si>
    <t>2014-11-07</t>
  </si>
  <si>
    <t>2022-02-28</t>
  </si>
  <si>
    <t>2011-05-12</t>
  </si>
  <si>
    <t>A system method and program product for collecting image data from within a metaverse. A system is provided that includes: a graphical user interface (GUI) for allowing a user to install and administer a camera within the metaverse; a system for collecting image data from the camera based on an occurrence of a triggering event associated with the camera; and a system for storing or delivering the image data for the user.</t>
  </si>
  <si>
    <t>Activity triggered photography in metaverse applications</t>
  </si>
  <si>
    <t>US14/536136</t>
  </si>
  <si>
    <t>DANIEL SAMWEL</t>
  </si>
  <si>
    <t>2171: Graphical User Interface and Document Processing</t>
  </si>
  <si>
    <t xml:space="preserve">A metaverse system having a camera system for capturing image data from within a metaverse, comprising:
at least one computer device, including:
a display;
a graphical user interface (GUI), rendered on the display, and operated by a user, for installing and administering, by the user, a camera within the metaverse, wherein the GUI includes a map overview of the entire metaverse;
wherein the user operates the GUI to: move and zoom the map overview of the metaverse to navigate to a metaverse scene within a location of the map overview, place and orient the camera at a desired location within the metaverse scene in the map overview, select a camera type, wherein the camera type is selected from a group consisting of a still camera and a video camera, display a thumbnail with a real-time view of the camera to select a zoom and field of view for the camera, select at least one triggering event for the camera, and select a notification protocol;
a system for collecting image data from the camera based on an occurrence of a triggering event associated with the camera and input by the user using the GUI, wherein the system for collecting image data includes a system for detecting an action within a field of view of the camera and for generating the triggering event in response to the detecting; and
a system for storing or delivering the image data to a metaverse inventory of the user;
wherein image data is collected by the camera in an automatic fashion independently from the user during the absence of the user at the metaverse scene.
</t>
  </si>
  <si>
    <t>1. A metaverse system having a camera system for capturing image data from within a metaverse, comprising:
at least one computer device, including:
a display;
a graphical user interface (GUI), rendered on the display, and operated by a user, for installing and administering, by the user, a camera within the metaverse, wherein the GUI includes a map overview of the entire metaverse;
wherein the user operates the GUI to: move and zoom the map overview of the metaverse to navigate to a metaverse scene within a location of the map overview, place and orient the camera at a desired location within the metaverse scene in the map overview, select a camera type, wherein the camera type is selected from a group consisting of a still camera and a video camera, display a thumbnail with a real-time view of the camera to select a zoom and field of view for the camera, select at least one triggering event for the camera, and select a notification protocol;
a system for collecting image data from the camera based on an occurrence of a triggering event associated with the camera and input by the user using the GUI, wherein the system for collecting image data includes a system for detecting an action within a field of view of the camera and for generating the triggering event in response to the detecting; and
a system for storing or delivering the image data to a metaverse inventory of the user;
wherein image data is collected by the camera in an automatic fashion independently from the user during the absence of the user at the metaverse scene.
2. The metaverse system of claim 1, further comprising a notification system for notifying at least one user when image data has been collected using the selected notification protocol.
3. The metaverse system of claim 2, wherein the notification system interfaces with a third party application.
4. A non-transitory computer readable storage medium having a computer program product stored thereon for implementing a method for capturing image data from within a metaverse when executed on a computing device, the method comprising:
rendering a graphical user interface (GUI), operated by a user, on a display, the GUI including controls for installing and administering, by the user, a camera within the metaverse, wherein the GUI includes a map overview of the entire metaverse;
wherein the user operates the GUI to: move and zoom the map overview of the metaverse to navigate to a metaverse scene within a location of the map overview, place and orient the camera at a desired location within the metaverse scene in the map overview, select a camera type, wherein the camera type is selected from a group consisting of a still camera and a video camera, display a thumbnail with a real-time view of the camera to select a zoom and field of view for the camera, select at least one triggering event for the camera, and select a notification protocol;
collecting image data from the camera based on an occurrence of a triggering event associated with the camera and input by the user using the GUI, wherein the collecting image data includes detecting an action within a field of view of the camera and generating the triggering event in response to the detecting; and
storing or delivering the image data to a metaverse inventory of the user;
wherein image data is collected by the camera in an automatic fashion independently from the user during the absence of the user at the metaverse scene.
5. The computer readable storage medium of claim 4, further comprising program code for notifying at least one user when image data has been collected using the selected notification protocol.
6. The computer readable storage medium of claim 5, wherein the notification interfaces with a third party application.
7. A method for capturing image data from within a metaverse, comprising:
providing an graphical user interface (GUI) on a display of a computing device, the GUI operated by a user, the GUI including controls for installing and administering, by the user, a camera within the metaverse, wherein the GUI includes a map overview of the entire metaverse;
wherein the user operates the GUI to: move and zoom the map overview of the metaverse to navigate to a metaverse scene within a location of the map overview, place and orient the camera at a desired location within the metaverse scene in the map overview, select a camera type, wherein the camera type is selected from a group consisting of a still camera and a video camera, display a thumbnail with a real-time view of the camera to select a zoom and field of view for the camera, select at least one triggering event for the camera, and select a notification protocol;
collecting image data from the camera based on an occurrence of a triggering event associated with the camera and input by the user using the GUI, wherein the collecting image data includes detecting an action within a field of view of the camera and generating the triggering event in response to the detecting; and
storing or delivering the image data to a metaverse inventory of the user;
wherein image data is collected by the camera in an automatic fashion independently from the user during the absence of the user at the metaverse scene.
8. The method of claim 7, further comprising notifying at least one user when image data has been collected using the selected notification protocol.
9. The method of claim 8, wherein the notifying interfaces with a third party application.</t>
  </si>
  <si>
    <t>Cannon, Ulysses L.|Jones, Angela Richards|Lyle, Ruthie D.|Mcvey, Susan S.</t>
  </si>
  <si>
    <t>US20150062113 A1</t>
  </si>
  <si>
    <t>G06T0019006000</t>
  </si>
  <si>
    <t>G06T0019006000 | G06N0003006000 | G06T2210210000 | A63F0013525000 | H04L0067131000</t>
  </si>
  <si>
    <t>A63F01352500</t>
  </si>
  <si>
    <t>A63F01352500 | G06N00300000 | G06T01900000 | H04L02906000</t>
  </si>
  <si>
    <t>US20110113382A1|US8893047B2|US20150062113A1|US9875580B2</t>
  </si>
  <si>
    <t>$21448</t>
  </si>
  <si>
    <t>US20110113382 A1 | US8893047 B2 | US20150062113 A1 | US9875580 B2</t>
  </si>
  <si>
    <t>I-000130891711</t>
  </si>
  <si>
    <t>https://patentscout.innography.com/share/c_wS0l7kc-QFA9nPBMQKQQ%3D%3D</t>
  </si>
  <si>
    <t>2014-11-06-ASSIGNMENT (INTERNATIONAL BUSINESS MACHINES CORPORATION)|2018-01-03-INFORMATION ON STATUS: PATENT GRANT|2021-09-13-FEE PAYMENT PROCEDURE|2022-02-28-LAPSE FOR FAILURE TO PAY MAINTENANCE FEES|2022-02-28-INFORMATION ON STATUS: PATENT DISCONTINUATION|2022-03-22-LAPSED DUE TO FAILURE TO PAY MAINTENANCE FEE</t>
  </si>
  <si>
    <t>https://patentscout.innography.com/share/c_wS0l7kc-QFA9nPBMQKQQ%3D%3D/download</t>
  </si>
  <si>
    <t>https://ppubs.uspto.gov/pubwebapp/external.html?q=9875580.pn.</t>
  </si>
  <si>
    <t>US20110113382 A1</t>
  </si>
  <si>
    <t>103 | US09/934717 | CTNF
103 | US11/548904 | CTNF</t>
  </si>
  <si>
    <t>Microsoft Corporation
International Business Machines Corp.</t>
  </si>
  <si>
    <t>2017-06-02</t>
  </si>
  <si>
    <t>HOFFMAN WARNICK LLC</t>
  </si>
  <si>
    <t>Daniel Simek</t>
  </si>
  <si>
    <t>1. A metaverse system having a camera system for capturing image data from within a metaverse, comprising:
at least one computer device, including:
a display;
a graphical user interface (GUI), rendered on the display, and operated by a user, for installing and administering, by the user, a camera within the metaverse, wherein the GUI includes a map overview of the entire metaverse;
wherein the user operates the GUI to: move and zoom the map overview of the metaverse to navigate to a metaverse scene within a location of the map overview, place and orient the camera at a desired location within the metaverse scene in the map overview, select a camera type, wherein the camera type is selected from a group consisting of a still camera and a video camera, display a thumbnail with a real-time view of the camera to select a zoom and field of view for the camera, select at least one triggering event for the camera, and select a notification protocol;
a system for collecting image data from the camera based on an occurrence of a triggering event associated with the camera and input by the user using the GUI, wherein the system for collecting image data includes a system for detecting an action within a field of view of the camera and for generating the triggering event in response to the detecting; and
a system for storing or delivering the image data to a metaverse inventory of the user;
wherein image data is collected by the camera in an automatic fashion independently from the user during the absence of the user at the metaverse scene.</t>
  </si>
  <si>
    <t>4. A non-transitory computer readable storage medium having a computer program product stored thereon for implementing a method for capturing image data from within a metaverse when executed on a computing device, the method comprising:
rendering a graphical user interface (GUI), operated by a user, on a display, the GUI including controls for installing and administering, by the user, a camera within the metaverse, wherein the GUI includes a map overview of the entire metaverse;
wherein the user operates the GUI to: move and zoom the map overview of the metaverse to navigate to a metaverse scene within a location of the map overview, place and orient the camera at a desired location within the metaverse scene in the map overview, select a camera type, wherein the camera type is selected from a group consisting of a still camera and a video camera, display a thumbnail with a real-time view of the camera to select a zoom and field of view for the camera, select at least one triggering event for the camera, and select a notification protocol;
collecting image data from the camera based on an occurrence of a triggering event associated with the camera and input by the user using the GUI, wherein the collecting image data includes detecting an action within a field of view of the camera and generating the triggering event in response to the detecting; and
storing or delivering the image data to a metaverse inventory of the user;
wherein image data is collected by the camera in an automatic fashion independently from the user during the absence of the user at the metaverse scene.</t>
  </si>
  <si>
    <t>7. A method for capturing image data from within a metaverse, comprising:
providing an graphical user interface (GUI) on a display of a computing device, the GUI operated by a user, the GUI including controls for installing and administering, by the user, a camera within the metaverse, wherein the GUI includes a map overview of the entire metaverse;
wherein the user operates the GUI to: move and zoom the map overview of the metaverse to navigate to a metaverse scene within a location of the map overview, place and orient the camera at a desired location within the metaverse scene in the map overview, select a camera type, wherein the camera type is selected from a group consisting of a still camera and a video camera, display a thumbnail with a real-time view of the camera to select a zoom and field of view for the camera, select at least one triggering event for the camera, and select a notification protocol;
collecting image data from the camera based on an occurrence of a triggering event associated with the camera and input by the user using the GUI, wherein the collecting image data includes detecting an action within a field of view of the camera and generating the triggering event in response to the detecting; and
storing or delivering the image data to a metaverse inventory of the user;
wherein image data is collected by the camera in an automatic fashion independently from the user during the absence of the user at the metaverse scene.</t>
  </si>
  <si>
    <t>JP2014134922 A | KR102309022 B1 | KR20140036555 A | KR20190018102 A | KR20210023374 A</t>
  </si>
  <si>
    <t>2022-09-13</t>
  </si>
  <si>
    <t>2022-01-20</t>
  </si>
  <si>
    <t>2042-01-20</t>
  </si>
  <si>
    <t>Disclosed are a care platform service system using metaverse and a method for controlling the same. According to the present invention the user&amp;#39;s status is synchronized to the metaverse space and provided in real time so that the user&amp;#39;s safety and health status can be quickly checked and user care work can be aided in the real world.</t>
  </si>
  <si>
    <t>Care platform service system using metaverse and method for controlling the same</t>
  </si>
  <si>
    <t>B2en Co., Ltd.</t>
  </si>
  <si>
    <t>B2en Consulting, Co., Ltd.</t>
  </si>
  <si>
    <t>B2EN Consulting, Co., Ltd.</t>
  </si>
  <si>
    <t>KR20220008447A</t>
  </si>
  <si>
    <t>an information detection sensor unit 100 that is worn on a plurality of users 10 and detects biometric information and location information for each user; and a data collection unit 210 for receiving the user's biometric information and location information detected by the information detection sensor unit 100 and classifying the received information, and preset based on the classified biometric information and location information. The data management unit 220 for analyzing the health state, activity state, and risk state for each user by comparing with the reference value for state analysis, and user metaverse data reflecting the health state, activity state, and risk state in the biometric information and location information;, a metaverse management unit 230 that generates accessor metaverse data based on data input from the terminal unit 300 and matches and displays the metaverse space 400, and provides past history and medical history information for each user The medical record unit 240, the user's past treatment history and medical history information, and the classified user's biometric information and location information using an artificial intelligence-based analysis model to predict the health status and risk status for each user. create, and a care platform server 200 comprising an AI analysis unit 250 that allows the generated prediction information to be reflected in the data management unit 220; and the artificial intelligence-based analysis model uses a deep learning model before treatment A care platform service system using metaverse, characterized in that it learns each user's health state and risk state recognition from learning data including information, biometric information after treatment, biometric information by time period, and location information by space.</t>
  </si>
  <si>
    <t>an information detection sensor unit 100 that is worn on a plurality of users 10 and detects biometric information and location information for each user; and a data collection unit 210 for receiving the user's biometric information and location information detected by the information detection sensor unit 100 and classifying the received information, and preset based on the classified biometric information and location information. The data management unit 220 for analyzing the health state, activity state, and risk state for each user by comparing with the reference value for state analysis, and user metaverse data reflecting the health state, activity state, and risk state in the biometric information and location information;, a metaverse management unit 230 that generates accessor metaverse data based on data input from the terminal unit 300 and matches and displays the metaverse space 400, and provides past history and medical history information for each user The medical record unit 240, the user's past treatment history and medical history information, and the classified user's biometric information and location information using an artificial intelligence-based analysis model to predict the health status and risk status for each user. create, and a care platform server 200 comprising an AI analysis unit 250 that allows the generated prediction information to be reflected in the data management unit 220; and the artificial intelligence-based analysis model uses a deep learning model before treatment A care platform service system using metaverse, characterized in that it learns each user's health state and risk state recognition from learning data including information, biometric information after treatment, biometric information by time period, and location information by space.
According to claim 1, wherein the care platform service system further comprises a terminal device unit (300) to connect to the care platform server (200), wherein the care platform server (200) is a visitor input from the terminal device unit (300) A care platform service system using a metaverse, characterized in that the accessor metaverse data is generated based on the data of the metaverse, matched to the metaverse space (400), and displayed.
The care platform service system using metaverse according to claim 2, wherein the terminal device unit (300) includes at least one of a manager terminal (310), a doctor's terminal (320), and a guardian terminal (330).
The care platform service system using the metaverse of claim 2, wherein the user metaverse data is displayed through an avatar including the user's unique information and biometric information.
According to claim 2, wherein the information detection sensor unit 100, vital sensor unit 110 for detecting the user's biometric information;a location sensor unit 120 for detecting the user's location information; and a data communication unit (130) that transmits the biometric information and the location information to the care platform server (200) together with preset user information.
delete
delete
delete
According to claim 1, wherein the data management unit 220 compares the sensed biometric information and location information with a preset reference value for state analysis, if at least one of the biometric information and the location information is greater than or equal to the reference value for state analysis, a metaverse, characterized in that a risk response request signal and a medical treatment response request signal are generated and output to the terminal device unit 300, and the risk response request signal and the medical treatment response request signal are reflected and displayed in user metaverse data care platform service system using
The apparatus of claim 1, wherein the metaverse management unit 230 comprises: a data receiving unit 231 which receives user metaverse data and accessor metaverse data of the terminal unit 300;a motion generator 232 for controlling arrangement and operation of an avatar based on the received user metaverse data and accessor metaverse data;a graphic processing unit 233 that performs rendering according to the arrangement and operation of the avatar and outputs the rendered avatar to the metaverse space 400;an account management unit 234 for managing accounts of users and accessors accessing the metaverse space 400; and a database 235 for storing data related to the biometric information, location information, health status for each user, activity status, risk status, user metaverse data, accessor metaverse data, and metaverse space 400; A care platform service system using a metaverse, characterized in that.
a) generating, by the care platform server 200, the metaverse space 400 and content included in the metaverse space 400;b) the information detection sensor unit 100 is worn on a plurality of users 10, and the care platform server 200 receives the biometric information and location information for each user detected from the information detection sensor unit 100, analyzing the state information for each;c) generating, by the care platform server 200, user metaverse data reflecting biometric information and location information for each user, matching the generated individual user metaverse data to a preset metaverse space 400 and displaying the generated metaverse data; and d) the care platform server 200 monitors the detected biometric information and location information, and compares the biometric information and location information with a preset reference value for state analysis, and the user's activity state and risk state according to the comparison result, health status is reflected and displayed in the user metaverse data, and the user's activity status, risk status, and health status are determined by the care platform server 200 using an artificial intelligence-based analysis model to compare the user's health status with each user's health status. It is generated based on the prediction information that predicts the risk state, and the AI-based analysis model uses a deep learning model to learn data including biometric information before treatment, biometric information after treatment, biometric information by time period, and location information by space using a deep learning model. A control method of a care platform service system using a metaverse, characterized in that it learns the recognition of each user's health state and risk state from
12. The method of claim 11, wherein in step c), the care platform server 200 detects the access of the terminal device 300, and when input data of the accessor is detected from the terminal device 300, The method of controlling a care platform service system using a metaverse, characterized in that it further comprises the step of generating visitor metaverse data, matching the generated visitor metaverse data to the metaverse space (400), and displaying the same.
delete
delete
The method of claim 11, wherein step d) outputs a risk response request signal to the terminal device unit 300 when an abnormal value is generated in at least one of an active state and a dangerous state as a result of comparing the detected biometric information and the location information A method of controlling a care platform service system using a metaverse, characterized in that.
The metaverse of claim 11, wherein in step d), when an abnormal value is generated in the health state as a result of comparing the detected biometric information and the location information, a medical treatment response request signal is output to the terminal device unit 300. A method of controlling the care platform service system using</t>
  </si>
  <si>
    <t>Cho, Gwang Won|Kim, Moon Young|Ma, Hye Sun</t>
  </si>
  <si>
    <t>A61B0005000000</t>
  </si>
  <si>
    <t>G16H04020000</t>
  </si>
  <si>
    <t>G16H04020000 | A61B00500000 | G06N00308000 | G06N02000000 | G06T01340000 | G06T01900000 | G16H01060000 | G16H05020000 | G16H05030000 | G16H08000000 | H04W00402900</t>
  </si>
  <si>
    <t>KR102441662B1</t>
  </si>
  <si>
    <t>KR102441662 B1</t>
  </si>
  <si>
    <t>I-000230097507</t>
  </si>
  <si>
    <t>20 years from 2022-01-20 (file date)</t>
  </si>
  <si>
    <t>https://patentscout.innography.com/share/Ci9wXhHR_S75_Exn4_r3Wg%3D%3D</t>
  </si>
  <si>
    <t>2022-09-05-WRITTEN DECISION TO GRANT</t>
  </si>
  <si>
    <t>https://patentscout.innography.com/share/Ci9wXhHR_S75_Exn4_r3Wg%3D%3D/download</t>
  </si>
  <si>
    <t>https://v3.espacenet.com/publicationDetails/biblio?CC=KR&amp;NR=102441662B1&amp;KC=B1&amp;FT=D&amp;date=20220913&amp;DB=EPODOC&amp;locale=</t>
  </si>
  <si>
    <t>KR20102441662 B1</t>
  </si>
  <si>
    <t>1.  an information detection sensor unit 100 that is worn on a plurality of users 10 and detects biometric information and location information for each user; and a data collection unit 210 for receiving the user's biometric information and location information detected by the information detection sensor unit 100 and classifying the received information, and preset based on the classified biometric information and location information. The data management unit 220 for analyzing the health state, activity state, and risk state for each user by comparing with the reference value for state analysis, and user metaverse data reflecting the health state, activity state, and risk state in the biometric information and location information;, a metaverse management unit 230 that generates accessor metaverse data based on data input from the terminal unit 300 and matches and displays the metaverse space 400 , and provides past history and medical history information for each user The medical record unit 240 , the user's past treatment history and medical history information, and the classified user's biometric information and location information using an artificial intelligence-based analysis model to predict the health status and risk status for each user. create, and a care platform server 200 comprising an AI analysis unit 250 that allows the generated prediction information to be reflected in the data management unit 220 ; and the artificial intelligence-based analysis model uses a deep learning model before treatment A care platform service system using metaverse, characterized in that it learns each user's health state and risk state recognition from learning data including information, biometric information after treatment, biometric information by time period, and location information by space.</t>
  </si>
  <si>
    <t>11.  a) generating, by the care platform server 200 , the metaverse space 400 and content included in the metaverse space 400 ;b) the information detection sensor unit 100 is worn on a plurality of users 10 , and the care platform server 200 receives the biometric information and location information for each user detected from the information detection sensor unit 100 , analyzing the state information for each;c) generating, by the care platform server 200 , user metaverse data reflecting biometric information and location information for each user, matching the generated individual user metaverse data to a preset metaverse space 400 and displaying the generated metaverse data; and d) the care platform server 200 monitors the detected biometric information and location information, and compares the biometric information and location information with a preset reference value for state analysis, and the user's activity state and risk state according to the comparison result, health status is reflected and displayed in the user metaverse data, and the user's activity status, risk status, and health status are determined by the care platform server 200 using an artificial intelligence-based analysis model to compare the user's health status with each user's health status. It is generated based on the prediction information that predicts the risk state, and the AI-based analysis model uses a deep learning model to learn data including biometric information before treatment, biometric information after treatment, biometric information by time period, and location information by space using a deep learning model. A control method of a care platform service system using a metaverse, characterized in that it learns the recognition of each user's health state and risk state from</t>
  </si>
  <si>
    <t>14.  delete</t>
  </si>
  <si>
    <t>2020-11-27</t>
  </si>
  <si>
    <t>2021-08-18</t>
  </si>
  <si>
    <t>2023-05-27</t>
  </si>
  <si>
    <t>The present invention provides a metaverse game system. More specifically the present invention relates to a user participation-type metaverse game system which enables a user to enjoy a game content in an environment in which virtuality and reality are merged by using a character reflecting the user&amp;#39;s online and offline actual propensity and online and offline activity details. According to an embodiment of the present invention a partner company (a member store) or a game operation server provides a game content with an AI character a participation-type board and a compensation a user participates in such a game content to play against an AI character and receive a compensation according to each activity the game operation server collects various pieces of activity information of the user and derives a propensity determination content on the basis of the collected information and a result of the derived propensity determination content is applied to the user&amp;#39;s character and is used for a metaverse game whereby it is advantageous in that more participation than a conventional game or platform can be derived and a culture of fairly paying a compensation according a user activity can be established.</t>
  </si>
  <si>
    <t>User participation-type metaverse game system</t>
  </si>
  <si>
    <t>KR2021010962W</t>
  </si>
  <si>
    <t>a user application installed in one or more user terminals and participating in a game by growing a user character by reflecting the user's online and offline activities related to a game performed using a user character generated according to a user's input in the game; And, in conjunction with the user application, generating the user character and AI character according to the request of the user application, and reflecting the user's tendency determination result obtained by collecting and analyzing the user's activity information to the status of the character, one The above propensity judgment content is selected and provided to each user, and the user selects an AI character graphically displayed in response to a location designated by the user on the online map or an AI character augmented in response to the current offline location of each user as his/her own user character A user-participating metaverse game system including a game operation server that provides game content to be treated alone or together with other users.</t>
  </si>
  <si>
    <t>a user application installed in one or more user terminals and participating in a game by growing a user character by reflecting the user's online and offline activities related to a game performed using a user character generated according to a user's input in the game; And, in conjunction with the user application, generating the user character and AI character according to the request of the user application, and reflecting the user's tendency determination result obtained by collecting and analyzing the user's activity information to the status of the character, one The above propensity judgment content is selected and provided to each user, and the user selects an AI character graphically displayed in response to a location designated by the user on the online map or an AI character augmented in response to the current offline location of each user as his/her own user character A user-participating metaverse game system including a game operation server that provides game content to be treated alone or together with other users.
          According to claim 1, Installed in one or more affiliate terminals, and according to the input of the affiliate, designate the appearance time and location of the AI ​​character, present the user's online and offline activities, and reward to be provided according to the on and offline activities User participation type metaverse game system further comprising an affiliate application for selecting and registering products or services to be provided to the user.
          According to claim 2, The user application, Server connection unit for performing data communication by accessing the game operation server;an on/offline activity unit designated in the affiliate application or reflecting the one or more on/offline activity details to the game content;a game participation unit that participates in the game content using the user character, requests other users located nearby to participate in the game, or participates in another user's game; and a game manipulation unit that receives a user's manipulation on the screen of the user terminal and reflects the game in progress.
          The method of claim 2, wherein the affiliate application comprises: a server connection unit configured to access the game operation server and perform data communication;An information input unit for specifying when and where the AI ​​character will appear in the game operation server, or presenting an on/offline activity to be performed by the user, and inputting a reward to be provided to the user according to the on/offline activity ;a reward providing unit that records when and what kind of reward is provided to the user and processes it according to the record; and a sales input unit for inputting types and prices of goods and services to be provided to the user in the game operation server.
          The method of claim 2, wherein the game operation server identifies a user application and an affiliate application by interworking with the user application executed in a user terminal and the affiliate application of the affiliate terminal located in each region through an information communication network, a communication unit for performing data communication by determining whether the user and the affiliate are members;a character management unit for generating a user character according to the request of the user application, providing the user's tendency determination result to the user application, and reflecting the experience value according to the tendency determination result and the game progress result in the status of the user character;an activity collecting unit that collects in real time, on/offline activity information of a user provided by the affiliate terminal or the game operation server;a test management unit that analyzes and stores the user's tendency in response to the user's activity information collected in the activity collection unit, selects one or more tendency determination contents for collecting additional data, and provides it to the user application; and one or more game zones are defined in each region based on the current location of one or more user terminals currently connected or a location designated by the user terminal, and one or more user characters and AI characters are engaged in the game zone according to the request of the user application. A user-participating metaverse game system that includes a game providing unit to play the game.
          The metaverse game system of claim 5 , wherein the character manager increases or decreases the status of the user character according to at least one of the activity information and the treatment result of the AI ​​character in the game content. .
          The metaverse game system of claim 5 , wherein the character manager changes the appearance of the user character based on a picture of the user registered in user information.
          According to claim 5, The character management unit, When the user purchases a product or service from a connected affiliate online or offline, adding an item designated to the product or service to the appearance of the user character, or the user character A user-participating metaverse game system that increases or decreases the number of status.
          The method of claim 8, wherein the product includes sound source content, and the character management unit plays sound source content purchased during the game in conjunction with the game providing unit according to a user's setting, but the sound source content is higher than the standard. In the case of a fast beat, the attack power and defense power of the status on the game content are increased, and when the sound source content is a bit later than the mood, the detection power and healing power of the status are increased, a user participation type metaverse game system.
          According to claim 8, The service includes registration of a convenience facility including a gym, The character management unit, When the user terminal enters the convenience facility, the appearance of the user character according to the user's convenience facility usage details Or to change the status, a user-participating metaverse game system.
          According to claim 8, The character management unit, Health information measured from a health care device including a smart band interlocking with the user terminal is transmitted, or health information according to the user's health checkup from a partner terminal operated by a medical institution When transmitted, the user participation type metaverse game system to change the appearance or status of the user character according to the health information.
          According to claim 5, The character management unit, When the affiliated company is a government agency including one or more of the government tourism authority and local government, if the user fulfills the requirements presented by the government agency, It is reflected in the character's status, and the above requirement is a task of uploading SNS photos, solving quizzes, or performing QR code authentication in the user terminal for any one of the figures, symbols and places that the government and local governments want to promote. A participatory metaverse game system.
          According to claim 5, The character management unit, In addition to the user character basically provided to the user, one or more auxiliary characters specialized for a specific function may be sold to the user, and provide a registration and management function, The auxiliary character comprises: , A user-participating metaverse game system including at least one of a medic character that affects the resilience status of normal characters and allied characters, an observation character that affects detection, and a bulletproof character that affects defense.
          According to claim 5, The activity information, One or more of, purchasing products or services performed by a user through a server operated by the affiliate, using an affiliate platform, watching an advertisement, solving a problem, writing a comment, writing a review, and writing A user-participating metaverse game system that includes.
          According to claim 5, The disposition determination content, MBTI, IQ, EQ, MQ, SQ, CQ, AQ, PQ, GQ, DQ, NQ, HQ, FQ, and user participation meta including one or more of psychological tests Bus game system.
          The method of claim 15, wherein the tendency determination content is provided by AI analysis according to user selection and activity for multiple choice, determination in a given game situation, and bulletin board posts by field, and the result of the tendency determination content is the user's character A user-participating metaverse game system that increases/decreases the status of the user and uses the accumulated data to identify the user's propensity and characteristics.
          According to claim 5, The game operation server, The activity information and the AI ​​character treatment results in the game content, further comprising a reserve management unit to generate a reserve according to at least one and pay the user, The reserve is, A user-participating metaverse game system that is used to purchase game-related items, the points are used to purchase products and services in the metaverse game, or the points are used for payment at one or more affiliated merchants.
          The method according to claim 17, wherein the game operation server is further connected to a payment system, and the reserve management unit, When usage information according to a user of a game-related payment method operated in the payment system is notified, the payment is made by the payment method. A user-participating metaverse game system that receives digital content and delivers it to the user application.
          The method of claim 5, wherein the game providing unit further provides an auxiliary character excluding the character to the user in conjunction with the character management unit, wherein the auxiliary character is used to increase or decrease the status of characters of users and other users currently participating in the game. A user-participating metaverse game system that has a temporary impact.
          The method of claim 5, wherein the game operation server further comprises a bulletin board management unit that grants the right to write on the bulletin board for each field only when the activity information, the propensity determination content, and the game content participation are higher than a certain level according to at least one A user-participatory metaverse game system.
          The method of claim 20, wherein the bulletin board management unit sets a ranking for a plurality of postings published on a weekly or monthly basis, and provides a reserve fund or an item usable in game content to a user who writes a posting according to the ranking. , a user-participating metaverse game system.
          The method according to claim 20, wherein the bulletin board management unit analyzes and digitizes the user's activity including reading or commenting on the bulletin board on the bulletin board using a machine learning-based learning model, and converts the numerical value digitized by the bulletin board management unit into a character. A user-participating metaverse game system that works with the management unit to reflect the increase or decrease of a character's status.
          According to claim 5, The game operation server, Registers one or more affiliate information applied to the user character according to the request of the affiliate terminal, and when the user subscribes to the affiliate information and meets the set conditions, reward the user A user-participating metaverse game system further comprising an affiliate register that provides
          According to claim 5, The test management unit, When the user's classification selection, randomly extract one or more content belonging to the same category among the content for determining the tendency stored in the database, or randomly extracting one or more of all content for determining the tendency, Configure a problem by extracting one or more of the classified content for propensity judgment according to the request of the affiliate terminal, or by randomly extracting one or more of the entire content for judging propensity in response to the status of the user's propensity or character A user participation type metaverse game system that performs the check, but checks whether each problem is provided to the user in duplicate, and provides only the problem that is initially provided to the user terminal as the tendency determination content.
          According to claim 5, The test management unit, When two or more user applications are executed indoors and two users establish an alliance, the same or sequentially different tendency determination contents are provided to the two user applications in which the alliance is established, respectively, A user-participating metaverse game system that shares the results with a user application of
          The metaverse game system of claim 25 , wherein the test management unit transmits the tendency determination content selected by any one user among the two or more user applications in which the alliance is set to the other user applications.
          According to claim 5, The game providing unit, When any one user application is executed outdoors, all characters of other users located in the same game zone, including own character, displayed on the corresponding user application along with character information, The user participation type metaverse game system, wherein the user selects one or more characters displayed on the user terminal and requests participation to proceed with the game.
          The metaverse game system of claim 5 , wherein the game providing unit outputs vibration, sound, or other notifications through a user application of the two user terminals when two or more user terminals are adjacent to each other by a predetermined distance or more.
          According to claim 5, The game providing unit, When the user moves in the game zone, if an AI character in the game content is adjacent to the current location at the current location, but outputs a vibration, sound or other notification through the user application, but in the adjacent direction of the AI ​​character A user-participating metaverse game system that outputs vibrations, sounds, or other notifications that are output according to different formats.
          The method of claim 29, wherein the AI ​​character approaches the user's current location by jumping from the ground on the screen of the user terminal, and the game providing unit supports a plurality of attack methods according to the type of the user terminal, The plurality of attack methods include, when the user terminal is a smartphone, an attack method of touching an AI character approaching the augmented user character on the screen, or moving a smartphone to aim the AI ​​character and press an attack button;When the user terminal is a desktop or a laptop computer, an attack method of pressing a button after aiming at an AI character by manipulating a mouse;When the user terminal is a VR device or a HoloLens device, an attack method on AI characters by scroller manipulation or motion recognition; and when the user terminal is smart glasses or smart lenses, aiming at the AI ​​character with the user's focus, and an attack method by blinking the user's eyes.
          The method of claim 30, wherein the AI ​​character moves to the user's current location by moving in any direction, including jumping, up, down, left, and right on the screen of the user terminal, The game providing unit, The AI ​​character is the safety of the user character When entering the zone, attacking the user character reduces the user character's status value, and when the AI ​​character enters the user character's safe zone. The user participation type metaverse game system, which limits the attack of the AI ​​character by the user terminal, and switches to enable the attack when the user moves and the AI ​​character is located outside the safe area of ​​the user character.
          The metaverse game system of claim 5 , wherein the game providing unit increases or decreases the status of the character on the game content in response to the current air pollution level information of the real place corresponding to the game zone provided from an external system. .
          The method of claim 5, wherein the game operation server further comprises a payment system unit further connected to a payment system, processing a user's payment request and use, distributing and storing payment records, and inspecting whether the payment records are contaminated. A user-participating metaverse game system.
          The method of claim 33, wherein the payment method of the payment system is any one of in-app payment, digital currency, cryptocurrency, account transfer through a bank, credit card, VAN, PG, simple payment and gift certificate, user participation type Metaverse game system.
          The metaverse game system of claim 1 , wherein the user application augments and displays and shoots a character adjacent to or overlapping a subject when a camera function is executed in the user terminal.</t>
  </si>
  <si>
    <t>WO2022114456 A3*</t>
  </si>
  <si>
    <t>A63F0013460000</t>
  </si>
  <si>
    <t>A63F0013460000 | A63F0013790000</t>
  </si>
  <si>
    <t>A63F01379000</t>
  </si>
  <si>
    <t>A63F01379000 | A63F01346000</t>
  </si>
  <si>
    <t>WO2022114456A2|WO2022114456A3</t>
  </si>
  <si>
    <t>WO2022114456 A2 | KR20220074705 A | KR102471738 B1</t>
  </si>
  <si>
    <t>I-000225823266</t>
  </si>
  <si>
    <t>30 months from 2020-11-27 (priority date)</t>
  </si>
  <si>
    <t>https://patentscout.innography.com/share/6OceYqB89J5rYovqAVCktA%3D%3D</t>
  </si>
  <si>
    <t>2022-07-13-EP: THE EPO HAS BEEN INFORMED BY WIPO THAT EP WAS DESIGNATED IN THIS APPLICATION</t>
  </si>
  <si>
    <t>https://patentscout.innography.com/share/6OceYqB89J5rYovqAVCktA%3D%3D/download</t>
  </si>
  <si>
    <t>https://v3.espacenet.com/publicationDetails/biblio?CC=WO&amp;NR=2022114456A2&amp;KC=A2&amp;FT=D&amp;date=20220602&amp;DB=EPODOC&amp;locale=</t>
  </si>
  <si>
    <t>WO2021193320 A1</t>
  </si>
  <si>
    <t>WO2022114456 A2</t>
  </si>
  <si>
    <t>KR20220074705 A</t>
  </si>
  <si>
    <t>Major Patent And Law Firm</t>
  </si>
  <si>
    <t>1.  a user application installed in one or more user terminals and participating in a game by growing a user character by reflecting the user's online and offline activities related to a game performed using a user character generated according to a user's input in the game; And, in conjunction with the user application, generating the user character and AI character according to the request of the user application, and reflecting the user's tendency determination result obtained by collecting and analyzing the user's activity information to the status of the character, one The above propensity judgment content is selected and provided to each user, and the user selects an AI character graphically displayed in response to a location designated by the user on the online map or an AI character augmented in response to the current offline location of each user as his/her own user character A user-participating metaverse game system including a game operation server that provides game content to be treated alone or together with other users.</t>
  </si>
  <si>
    <t>JP2021140767 A | KR20130011037 A | KR20130061538 A | KR20160144699 A | KR20180092778 A</t>
  </si>
  <si>
    <t>2022-05-26</t>
  </si>
  <si>
    <t>2021-10-22</t>
  </si>
  <si>
    <t>2041-10-22</t>
  </si>
  <si>
    <t>According to an embodiment of the present invention an apparatus for generating a metaverse using image analysis includes a collecting unit for collecting target data including photo data related to a space for generating a metaverse embodying a virtual space; Collects the collected target data analyzes and extracts meta information included in each target data and selects at least one or more objects included in the image of the target data based on the neural network learning-based object recognition algorithm along with location information as meta information. a first inference engine including the extracted object information and shape information; a library for classifying and storing meta information extracted from the first inference engine along with the target data in association with the target data; and a metaverse generating unit that collects meta information data extracted classified and stored in the library for each place to generate a metaverse that is a virtual space for the corresponding place.</t>
  </si>
  <si>
    <t>Apparatus and method for generating metaverse using image analysis</t>
  </si>
  <si>
    <t>Jus. Inc.</t>
  </si>
  <si>
    <t>Jus Photo Co Ltd</t>
  </si>
  <si>
    <t>KR20210141722A</t>
  </si>
  <si>
    <t>a collection unit that collects target data including photo data related to a space to create a metaverse embodying a virtual space;Collects the collected target data, analyzes and extracts meta information included in each target data, and selects at least one object included in the image of the target data based on an object recognition algorithm based on neural network learning, along with location information as meta information. a first inference engine including the extracted object information and shape information;a library for classifying and storing meta information including location information, object information, and shape information extracted from the first inference engine, as well as the target data, in association with the target data;and a metaverse generator that collects meta information data extracted, classified and stored in the library for each place to generate a metaverse that is a virtual space for the corresponding place, wherein the first inference engine collects the collected photo data. Collecting, analyzing and extracting meta information included in each photo data, and extracting object information in a photo, which is an important element for metaverse generation as meta information, through an object recognition algorithm, the object recognition algorithm is based on a neural network is a learning algorithm based on the neural network, and the learning algorithm based on the neural network uses an R-CNN algorithm using a deep learning regression method, and the R-CNN algorithm first creates a candidate region and trains the CNN based on this. As a neural network algorithm that finds the location of an object, the object recognition process includes the process of generating candidate regions using selective search in the input image, converting each generated candidate regions to the same size, and extracting features through CNN. ,An apparatus for generating a metaverse using image analysis, comprising the step of classifying objects in a candidate region using the extracted features using a Supplier Vector Machine (SVM).</t>
  </si>
  <si>
    <t>a collection unit that collects target data including photo data related to a space to create a metaverse embodying a virtual space;Collects the collected target data, analyzes and extracts meta information included in each target data, and selects at least one object included in the image of the target data based on an object recognition algorithm based on neural network learning, along with location information as meta information. a first inference engine including the extracted object information and shape information;a library for classifying and storing meta information including location information, object information, and shape information extracted from the first inference engine, as well as the target data, in association with the target data;
and a metaverse generator that collects meta information data extracted, classified and stored in the library for each place to generate a metaverse that is a virtual space for the corresponding place, wherein the first inference engine collects the collected photo data. Collecting, analyzing and extracting meta information included in each photo data, and extracting object information in a photo, which is an important element for metaverse generation as meta information, through an object recognition algorithm, the object recognition algorithm is based on a neural network is a learning algorithm based on the neural network, and the learning algorithm based on the neural network uses an R-CNN algorithm using a deep learning regression method, and the R-CNN algorithm first creates a candidate region and trains the CNN based on this. As a neural network algorithm that finds the location of an object, the object recognition process includes the process of generating candidate regions using selective search in the input image, converting each generated candidate regions to the same size, and extracting features through CNN. ,
An apparatus for generating a metaverse using image analysis, comprising the step of classifying objects in a candidate region using the extracted features using a Supplier Vector Machine (SVM).
The apparatus of claim 1 , wherein the meta information further includes text information and time information.
The method according to claim 2, wherein the library divides the meta-information analyzed and extracted by the first inference engine by element, and separates and stores the meta-information in association with target data. A metaverse generating apparatus using image analysis, characterized in that it can be stored separately for each time, is associated with target data, and an ID for tagging or identification is assigned to classify by place or time.
The method according to claim 1, further comprising a second inference engine that performs neural network learning and 3D transformation operation for generating a metaverse space in 3D form based on target data in 2D form and meta information extracted from the target data. Metaverse generation device using image analysis.
The method according to claim 4, wherein the second reasoning engine is capable of performing learning and calculation to correct and supplement the generated metaverse space, the connectivity of the metaverse space and the accuracy of information included in the extracted meta information. A metaverse generating apparatus using image analysis, characterized in that it performs learning, collects a lot of the target data, and repeats learning, correcting and supplementing the metaverse space so that accurate and sophisticated creation of the metaverse space is possible.
The metaverse generation using image analysis according to claim 3, wherein the metaverse generated by the metaverse generating unit further comprises a database for classifying and storing the metaverse by location using location information or by using time information to classify and store the metaverse by time. Device.
A metaverse generating method using the metaverse generating apparatus using the image analysis of any one of claims 1 to 6, the method comprising: collecting, by the collecting unit, target data for generating a metaverse that is a 3D virtual space;The first inference engine collects the collected target data, analyzes and extracts meta information included in each target data, and includes location information as meta information, and in the image of the target data based on a neural network learning-based object recognition algorithm including the target information extracted from at least one or more objects;the library classifying and storing meta information including location information, object information, and shape information extracted from the first inference engine along with the target data in association with the target data; and performing, by the metaverse generating unit, metaverse generation, which is a virtual space for a corresponding place, by collecting meta information data extracted, classified and stored in the library for each place.
The method according to claim 7, wherein the second inference engine further comprises the steps of learning a neural network and performing a 3D transformation operation to generate a 3D-shaped metaverse space based on the 2D-shaped target data and meta information extracted from the target data. A method of generating a metaverse using image analysis that includes
The method according to claim 8, wherein the second reasoning engine is capable of performing learning and calculation to correct and supplement the generated metaverse space, and it is possible to evaluate the connectivity of the metaverse space and the accuracy of information included in the extracted meta information. A method of generating a metaverse using image analysis, which further includes the steps of performing learning, collecting a lot of the target data, and repeating learning to modify and supplement the metaverse space so that accurate and sophisticated creation of the metaverse space is possible.
The method according to claim 8, wherein the meta information further includes text information and time information, and in the method of generating a metaverse using the image analysis, the database uses the meta information generated by the metaverse generator for each location and each time. Metaverse creation method using image analysis further comprising the step of dividing and storing.</t>
  </si>
  <si>
    <t>Oh, U Jin</t>
  </si>
  <si>
    <t>G06T01920000 | G06Q05010000 | G06T01500000 | G06T01900000</t>
  </si>
  <si>
    <t>KR102402170B1</t>
  </si>
  <si>
    <t>KR102402170 B1</t>
  </si>
  <si>
    <t>I-000226195029</t>
  </si>
  <si>
    <t>20 years from 2021-10-22 (file date)</t>
  </si>
  <si>
    <t>https://patentscout.innography.com/share/0m_fckYBXYxq3JEqq_lcBw%3D%3D</t>
  </si>
  <si>
    <t>2022-05-10-DECISION TO GRANT OR REGISTRATION OF PATENT RIGHT|2022-05-23-WRITTEN DECISION TO GRANT</t>
  </si>
  <si>
    <t>https://patentscout.innography.com/share/0m_fckYBXYxq3JEqq_lcBw%3D%3D/download</t>
  </si>
  <si>
    <t>https://v3.espacenet.com/publicationDetails/biblio?CC=KR&amp;NR=102402170B1&amp;KC=B1&amp;FT=D&amp;date=20220526&amp;DB=EPODOC&amp;locale=</t>
  </si>
  <si>
    <t>KR20102402170 B1</t>
  </si>
  <si>
    <t>1.  a collection unit that collects target data including photo data related to a space to create a metaverse embodying a virtual space;Collects the collected target data, analyzes and extracts meta information included in each target data, and selects at least one object included in the image of the target data based on an object recognition algorithm based on neural network learning, along with location information as meta information. a first inference engine including the extracted object information and shape information;a library for classifying and storing meta information including location information, object information, and shape information extracted from the first inference engine, as well as the target data, in association with the target data;
and a metaverse generator that collects meta information data extracted, classified and stored in the library for each place to generate a metaverse that is a virtual space for the corresponding place, wherein the first inference engine collects the collected photo data. Collecting, analyzing and extracting meta information included in each photo data, and extracting object information in a photo, which is an important element for metaverse generation as meta information, through an object recognition algorithm, the object recognition algorithm is based on a neural network is a learning algorithm based on the neural network, and the learning algorithm based on the neural network uses an R-CNN algorithm using a deep learning regression method, and the R-CNN algorithm first creates a candidate region and trains the CNN based on this. As a neural network algorithm that finds the location of an object, the object recognition process includes the process of generating candidate regions using selective search in the input image, converting each generated candidate regions to the same size, and extracting features through CNN. ,
An apparatus for generating a metaverse using image analysis, comprising the step of classifying objects in a candidate region using the extracted features using a Supplier Vector Machine (SVM).</t>
  </si>
  <si>
    <t>KR101912705 B1 | KR20090003544 A | KR101930316 B1 | KR102024213 B1 | KR20120035747 A | KR20180061520 A | KR20180080934 A | KR20200090590 A</t>
  </si>
  <si>
    <t>2022-06-03</t>
  </si>
  <si>
    <t>2022-11-29</t>
  </si>
  <si>
    <t>2021-07-08</t>
  </si>
  <si>
    <t>The present invention discloses a metaverse game system. More specifically the present invention provides a user-participatory metaverse game system in which users can enjoy game content in an environment that converges virtual and reality by using characters that reflect their actual tendencies and on and offline activities online and offline. is about According to an embodiment of the present invention an affiliate (merchant) or game operation server provides an AI character and a participatory bulletin board and rewards for game content and a user participates in such game content to deal with the AI character and By receiving rewards collecting various activity information of users from the game operation server deriving content for propensity judgment based on this and reflecting the results on the user&amp;#39;s character and using it in the metaverse game it is better than existing games or platforms It can induce a lot of participation and it has the effect of forming a culture of fair payment according to user activity.</t>
  </si>
  <si>
    <t>System for providing user's participation type metaverse game</t>
  </si>
  <si>
    <t>KR20210089844A</t>
  </si>
  <si>
    <t>a user application installed in one or more user terminals and participating in a game by growing a user character by reflecting the user's online and offline activities related to a game performed using a user character generated according to a user's input in the game; and in conjunction with the user application, generating the user character and AI character according to the request of the user application, collecting and analyzing the user's activity information, and reflecting the user's tendency determination result in the character's status, one The above propensity judgment content is selected and provided to each user, and the user selects an AI character graphically displayed in response to a location designated by the user on the online map or an AI character augmented in response to the current offline location of each user as his/her own user character A user-participating metaverse game system including a game operation server that provides game content to be treated alone or with other users using</t>
  </si>
  <si>
    <t>a user application installed in one or more user terminals and participating in a game by growing a user character by reflecting the user's online and offline activities related to a game performed using a user character generated according to a user's input in the game; and in conjunction with the user application, generating the user character and AI character according to the request of the user application, collecting and analyzing the user's activity information, and reflecting the user's tendency determination result in the character's status, one The above propensity judgment content is selected and provided to each user, and the user selects an AI character graphically displayed in response to a location designated by the user on the online map or an AI character augmented in response to the current offline location of each user as his/her own user character A user-participating metaverse game system including a game operation server that provides game content to be treated alone or with other users using
The method according to claim 1, which is installed in one or more affiliate terminals, specifies the appearance time and location of the AI character according to the input of the affiliate, presents the user's online and offline activities, and rewards to be provided according to the on and offline activities A user participation type metaverse game system further comprising an affiliate application that selects and registers products or services to be provided to users.
The method of claim 2, wherein the user application comprises: a server connection unit for performing data communication by accessing the game operation server;an on/offline activity unit designated in the affiliate application or reflecting the one or more on/offline activity details to the game content;a game participation unit that participates in the game content using the user character, requests other users located nearby to participate in the game, or participates in another user's game; and a game manipulation unit that receives a user's manipulation on the screen of the user terminal and reflects it in the game progress.
The method of claim 2, wherein the affiliate application comprises: a server connection unit for performing data communication by accessing the game operation server;An information input unit for specifying when and where the AI character will appear in the game operation server, or presenting an on/offline activity to be performed by the user, and inputting a reward to be provided to the user according to the on/offline activity ;a reward providing unit that records when and what kind of reward is provided to the user and processes it according to the record; and a sales input unit for inputting types and prices of goods and services to be provided to the user in the game operation server.
The method according to claim 2, wherein the game operation server identifies the user application and the affiliate application by interworking with the user application executed in the user terminal and the affiliate application of the affiliate terminal located in each region through an information communication network, a communication unit for performing data communication by determining whether the user and the affiliate are members; a character management unit for generating a user character according to the request of the user application, providing the user's tendency determination result to the user application, and reflecting the experience value according to the tendency determination result and the game progress result in the status of the user character;an activity collecting unit that collects in real time, on/offline activity information of a user provided by the affiliate terminal or the game operation server; a test management unit that analyzes and stores the user's tendency in response to the user's activity information collected in the activity collection unit, selects one or more tendency determination contents for collecting additional data, and provides it to the user application; and defining one or more game zones in each region based on the current location of one or more user terminals currently connected or a location designated by the user terminal, and participating in one or more user characters and AI characters in the game zone according to the request of the user application A user-participating metaverse game system that includes a game providing unit that allows the game to be played.
The metaverse game system of claim 5 , wherein the character management unit increases or decreases the status of the user character according to at least one of the activity information and the treatment result of the AI character in the game content. .
The user participation type metaverse game system of claim 5 , wherein the character manager changes the appearance of the user character based on a picture of the user registered in user information.
The method of claim 5, wherein the character management unit, when the user purchases a product or service from a linked affiliate online or offline, adds an item designated to the product or service to the appearance of the user character, or the user character A user-participating metaverse game system that increases or decreases the number of status.
The method according to claim 8, wherein the product includes sound source content, and the character management unit plays sound source content purchased during a game in conjunction with the game providing unit according to a user's setting, but the sound source content is higher than the standard In the case of a fast beat, the attack power and defense power of the status on the game content are increased, and when the sound source content is a bit later than the mood, the detection power and healing power of the status are increased, a user participation type metaverse game system.
The method of claim 8, wherein the service includes registration of a convenience facility including a gym, and the character management unit, when the user terminal enters the convenience facility, the appearance of the user character according to the user's convenience facility usage details Or to change the status, a user-participating metaverse game system.
The method of claim 8, wherein the character management unit, the health information measured from a health care device including a smart band interlocking with the user terminal is transmitted, or health information according to the user's health checkup from a partner terminal operated by a medical institution When transmitted, the user participation type metaverse game system to change the appearance or status of the user character according to the health information.
According to claim 5, wherein the character management unit, when the affiliated company is a government agency including one or more of the government tourism authority and local government, if the user fulfills the requirements presented by the government agency, It is reflected in the character's status, and the above requirement is a task of uploading SNS photos, solving quizzes, or performing QR code authentication in the user terminal for any one of the figures, symbols and places that the government and local governments want to promote. A participatory metaverse game system.
The method according to claim 5, wherein the character management unit sells one or more auxiliary characters specialized for a specific function to the user, in addition to the user character provided as a basis to the user, and provides a registration and management function, wherein the auxiliary character comprises: , a user-participating metaverse game system including at least one of a medic character that affects the resilience status of normal characters and allied characters, an observation character that affects detection, and a bulletproof character that affects defense.
The method of claim 5, wherein the activity information includes one or more of, purchasing products or services performed by a user through a server operated by the affiliate, using an affiliate platform, viewing advertisements, solving problems, writing comments, writing reviews, and writing. A user-participating metaverse game system that includes.
According to claim 5, wherein the disposition judgment content, MBTI, IQ, EQ, MQ, SQ, CQ, AQ, PQ, GQ, DQ, NQ, HQ, FQ, and a user participation type meta including one or more of psychological tests Bus game system.
The method of claim 15, wherein the tendency determination content is provided by AI analysis according to user selection and activity for multiple choice, determination in a given game situation, and bulletin board posts by field, and the result of the tendency determination content is the user's character A user-participating metaverse game system that increases/decreases the status of the user and uses the accumulated data to identify the user's propensity and characteristics.
According to claim 5, wherein the game operation server, the activity information and the AI character treatment results in the game content, according to at least one of the points further comprises a reserve management unit that generates and pays the user a reserve fund, the reserve money, A user-participating metaverse game system that is used to purchase game-related items, the points are used to purchase products and services in the metaverse game, or the points are used for payment at one or more affiliated merchants.
18. The method of claim 17, wherein the game operation server is further connected to a payment system, and the reserve management unit, when the usage information according to the user of the game-related payment method operated in the payment system is notified, A user-participating metaverse game system that receives digital content and delivers it to the user application.
The method according to claim 5, wherein the game providing unit further provides an auxiliary character excluding the character to the user in conjunction with the character management unit, and the auxiliary character is related to the increase or decrease of the status of the characters of the user and other users currently participating in the game. A user-participating metaverse game system that has a temporary impact.
The method according to claim 5, wherein the game operation server further comprises a bulletin board management unit that grants the right to write on the bulletin board for each field only when the activity information, the tendency determination content, and the game content participation are above a certain level according to at least one A user-participatory metaverse game system.
The method according to claim 20, wherein the bulletin board management unit sets a ranking for a plurality of postings published on a weekly or monthly basis, and provides a reserve fund or an item usable in game content to a user who writes a posting according to the ranking. , a user-participating metaverse game system.
The method of claim 20, wherein the bulletin board management unit analyzes and digitizes the user's activity including reading or commenting on the bulletin board using a machine learning-based learning model, and converts the numerical value digitized by the bulletin board management unit into a character. A user-participating metaverse game system that works with the management unit to reflect the increase or decrease of a character's status.
The method of claim 5, wherein the game operation server registers one or more affiliate information applied to the user character according to the request of the affiliate terminal, and rewards the user when the user subscribes to the affiliate information and meets a set condition A user-participating metaverse game system further comprising an affiliate register that provides
The method of claim 5, wherein the test management unit, when the user selects a classification, randomly extracts one or more content belonging to the same category from among the content for determining the content stored in the database, or randomly extracting one or more content from all content for determining the content, Configure a problem by extracting one or more of the classified content for propensity judgment according to the request of the affiliate terminal, or by randomly extracting one or more of the content for judging the propensity in response to the status of the user's propensity or character A user participation type metaverse game system that performs the check, but checks whether each problem is provided to the user in duplicate, and provides only the problem that is initially provided to the user terminal as the tendency determination content.
The method of claim 5, wherein the test management unit, when two or more user applications are executed indoors and two users establish an alliance, the same or sequentially different tendency determination contents are provided to the two user applications in which the alliance is established, each A user-participating metaverse game system that shares the results with a user application of
The metaverse game system of claim 25 , wherein the test management unit transmits the content for determining the tendency selected by one user among the two or more user applications in which the alliance is set to the other user applications.
The method of claim 5, wherein the game providing unit, when any one user application is executed outdoors, displays the characters of all other users located in the same game zone, including own characters, on the corresponding user application together with character information, The user participation type metaverse game system, wherein the user selects one or more characters displayed on the user terminal and requests participation to proceed with the game.
The metaverse game system of claim 5 , wherein the game providing unit outputs vibration, sound, or other notifications through a user application of the two user terminals when two or more user terminals are adjacent to each other by a predetermined distance or more.
The method according to claim 5, wherein the game providing unit outputs vibration, sound, or other notifications through a user application when an AI character in the game content is adjacent to the current location when the user moves from the game zone, but in the adjacent direction of the AI character. A user-participating metaverse game system that outputs vibrations, sounds, or other notifications that are output according to different formats.
The method of claim 29, wherein the AI character approaches the user's current location by jumping from the ground on the screen of the user terminal, and the game providing unit supports a plurality of attack methods according to the type of the user terminal, The plurality of attack methods include, when the user terminal is a smartphone, an attack method of touching an AI character approaching the augmented user character on the screen, or moving a smartphone to aim the AI character and press an attack button;When the user terminal is a desktop or a laptop computer, an attack method of pressing a button after aiming at an AI character by manipulating a mouse;When the user terminal is a VR device or a HoloLens device, an attack method on AI characters by scroller manipulation or motion recognition; and when the user terminal is smart glasses or smart lenses, aiming at the AI character with the user's focus and attacking by blinking the user's eyes.
The method of claim 30, wherein the AI character moves in any direction, including jumping, up, down, left and right, on the screen of the user terminal to approach the user's current location, and the game providing unit comprises: When entering the zone, attacking the user character reduces the user character's status value, and when the AI character enters the user character's safe zone. The user participation type metaverse game system, which limits the attack of the AI character by the user terminal, and switches to enable the attack when the user moves and the AI character is located outside the safe area of the user character.
The metaverse game system of claim 5 , wherein the game providing unit increases/decreases the status of the character on the game content in response to the current air pollution level information of the real place corresponding to the game zone, provided from an external system. .
The method according to claim 5, wherein the game operation server further comprises a payment system unit that is further connected to a payment system, processes a user's payment request and use, distributes and stores payment records, and checks whether the payment records are contaminated. A user-participatory metaverse game system.
The method of claim 33, wherein the payment means of the payment system is any one of in-app payment, digital currency, cryptocurrency, bank account transfer, credit card, VAN, PG, simple payment and gift certificate, user participation type Metaverse game system.
The metaverse game system of claim 1 , wherein the user application augments and displays and shoots a character adjacent to or overlapping a subject when a camera function is executed in the user terminal.</t>
  </si>
  <si>
    <t>KR102471738 B1</t>
  </si>
  <si>
    <t>A63F0013790000</t>
  </si>
  <si>
    <t>A63F0013790000 | A63F0013460000</t>
  </si>
  <si>
    <t>A63F01346000</t>
  </si>
  <si>
    <t>A63F01346000 | A63F01379000</t>
  </si>
  <si>
    <t>KR20220074705A|KR102471738B1</t>
  </si>
  <si>
    <t>$7837</t>
  </si>
  <si>
    <t>I-000226803363</t>
  </si>
  <si>
    <t>Application expired due to grant (KR102471738 B1)</t>
  </si>
  <si>
    <t>https://patentscout.innography.com/share/46q676H1Z0Y7A6gS5r63vA%3D%3D</t>
  </si>
  <si>
    <t>2022-04-28-NOTIFICATION OF REASON FOR REFUSAL|2022-11-22-DECISION TO GRANT OR REGISTRATION OF PATENT RIGHT|2022-11-23-WRITTEN DECISION TO GRANT</t>
  </si>
  <si>
    <t>https://patentscout.innography.com/share/46q676H1Z0Y7A6gS5r63vA%3D%3D/download</t>
  </si>
  <si>
    <t>https://v3.espacenet.com/publicationDetails/biblio?CC=KR&amp;NR=20220074705A&amp;KC=A&amp;FT=D&amp;date=20220603&amp;DB=EPODOC&amp;locale=</t>
  </si>
  <si>
    <t>1.  a user application installed in one or more user terminals and participating in a game by growing a user character by reflecting the user's online and offline activities related to a game performed using a user character generated according to a user's input in the game; and in conjunction with the user application, generating the user character and AI character according to the request of the user application, collecting and analyzing the user's activity information, and reflecting the user's tendency determination result in the character's status, one The above propensity judgment content is selected and provided to each user, and the user selects an AI character graphically displayed in response to a location designated by the user on the online map or an AI character augmented in response to the current offline location of each user as his/her own user character A user-participating metaverse game system including a game operation server that provides game content to be treated alone or with other users using</t>
  </si>
  <si>
    <t>KR20210063284 A</t>
  </si>
  <si>
    <t>2022-08-17</t>
  </si>
  <si>
    <t>2021-12-28</t>
  </si>
  <si>
    <t>2041-12-28</t>
  </si>
  <si>
    <t>Disclosed are a metaverse hybrid platform service system and a method for controlling the same. In the present invention users select a virtual land (land or land) in a desired area in the metaverse space combined with geographic information using the metaverse platform and physically select the metaverse exhibition hall they want on the land. You can secure and decorate an exhibition hall that is identical to the real one creators can freely display their contents in each metaverse space and visitors can easily find and visit the metaverse space connected with geographic information to enjoy the aesthetic beauty. It has the advantage of being able to and it is possible to generate revenue through the secure sale of content using NFT.</t>
  </si>
  <si>
    <t>Metaverse hybrid platform service system and method for controlling the same</t>
  </si>
  <si>
    <t>Metalab, Inc.</t>
  </si>
  <si>
    <t>Metalab Gmbh</t>
  </si>
  <si>
    <t>Metalab GmbH</t>
  </si>
  <si>
    <t>KR20210190119A</t>
  </si>
  <si>
    <t>Digital map information and metaverse spatial information are managed by linking a certain area selected in an arbitrary area of the digital map - the predetermined area is land or land on the digital map - and managed, and arbitrary content included in the metaverse space a platform server 100 for providing an exhibition experience and a transaction service for the contents, wherein the platform server 100 interworks with digital map information and a predetermined area selected in an arbitrary area of the digital map A creator terminal that manages the generated metaverse space, creates a metaverse space by meta-connecting the selected predetermined area with the space requested by the creator terminals 400, 400a, 400b, and requests generation of the metaverse space (400, 400a, 400b) manages payment according to the creation and use of the metaverse space, and the creator terminals 400, 400a,The composition and arrangement are set according to the setting information input through 400b), and the information on the generated metaverse space is matched with the meta tag for search, so that the creator terminals 400, 400a, 400b and the user terminals 500 and 500a , a space management unit 110 that manages to be displayed in response to a search request of 500b);a metaverse space production unit 120 that generates a metaverse space in association with the selected predetermined area;an upload unit 130 for uploading and displaying content information displayed in the metaverse space and additional information on the content;The uploaded content information and additional information are mapped with at least one creator terminal (400, 400a, 400b), and a non-fungible token (NFT) is generated for content information displayed in a certain area selected from the digital map and metaverse space. a storage unit 140 for generating and storing digital ownership based on uniqueness; and a transaction approval request between the creator terminals 400, 400a, 400b and the user terminals 500, 500a, 500b with respect to the transaction request generated in the metaverse space and the transaction and meta of contents based on whether the transaction is accepted or not A metaverse hybrid platform service system comprising: a transaction unit 150 that manages transactions in the bus space, but manages the content displayed in the metaverse space so that digital ownership with uniqueness is traded based on NFT .</t>
  </si>
  <si>
    <t>Digital map information and metaverse spatial information are managed by linking a certain area selected in an arbitrary area of the digital map - the predetermined area is land or land on the digital map - and managed, and arbitrary content included in the metaverse space a platform server 100 for providing an exhibition experience and a transaction service for the contents, wherein the platform server 100 interworks with digital map information and a predetermined area selected in an arbitrary area of the digital map A creator terminal that manages the generated metaverse space, creates a metaverse space by meta-connecting the selected predetermined area with the space requested by the creator terminals 400, 400a, 400b, and requests generation of the metaverse space (400, 400a, 400b) manages payment according to the creation and use of the metaverse space, and the creator terminals 400, 400a,
The composition and arrangement are set according to the setting information input through 400b), and the information on the generated metaverse space is matched with the meta tag for search, so that the creator terminals 400, 400a, 400b and the user terminals 500 and 500a , a space management unit 110 that manages to be displayed in response to a search request of 500b);a metaverse space production unit 120 that generates a metaverse space in association with the selected predetermined area;an upload unit 130 for uploading and displaying content information displayed in the metaverse space and additional information on the content;The uploaded content information and additional information are mapped with at least one creator terminal (400, 400a, 400b), and a non-fungible token (NFT) is generated for content information displayed in a certain area selected from the digital map and metaverse space. a storage unit 140 for generating and storing digital ownership based on uniqueness; and a transaction approval request between the creator terminals 400, 400a, 400b and the user terminals 500, 500a, 500b with respect to the transaction request generated in the metaverse space and the transaction and meta of contents based on whether the transaction is accepted or not A metaverse hybrid platform service system comprising: a transaction unit 150 that manages transactions in the bus space, but manages the content displayed in the metaverse space so that digital ownership with uniqueness is traded based on NFT .
The metaverse hybrid according to claim 1, wherein the platform server (100) performs payment for one or more user terminals (500, 500a, 500b) entering the metaverse space for an exhibition experience of content. platform service system.
delete
According to claim 1, wherein the platform server 100, when the transaction of the content by the transaction unit 150 is completed, the end unit 160 that manages to deactivate the transaction for the content; meta characterized in that it further comprises a Bus hybrid platform service system.
delete
a) The platform server 100 selects digital map information and a certain area in an arbitrary area of the digital map - the predetermined area is land or land on the digital map - and connects the selected area to the metaverse space Creates information and arbitrary content included in the metaverse space, wherein the platform server 100 interworks with digital map information and a predetermined area selected in an arbitrary area of the digital map to provide a creator terminal ( 400, 400a, and 400b) to generate a metaverse space by meta-connecting it with the space requested, and performing payment according to the generation and use of the metaverse space to a creator terminal requesting the creation of the metaverse space, and the metaverse space The composition and arrangement are set according to the setting information input through the creator terminals 400, 400a, and 400b for the content information displayed in and additional information on the content,
A meta mapped to be displayed in response to a search request of the creator terminals 400, 400a, 400b and the user terminals 500, 500a, 500b by matching the content information and additional information about the generated metaverse space with a meta tag for search linking the bus spatial information to the digital map;b) the platform server 100 generates digital ownership with uniqueness based on NFT (Non Fungible Token) with respect to a certain area selected from the digital map and content information displayed in the metaverse space, the content information and the uploading and displaying additional information on content; and c) the platform server 100 provides an exhibition experience for the displayed content and a transaction service for the content, and manages the content displayed in the metaverse space so that digital ownership with uniqueness is traded based on NFT A method of controlling a metaverse hybrid platform service system, including:
delete
delete
delete
The method according to claim 6, wherein step c) further comprises the step of performing, by the platform server 100, payment for one or more user terminals (500, 500a, 500b) entering the metaverse space for an exhibition experience of content. Control method of the metaverse hybrid platform service system, characterized in that it comprises.
The method of claim 6, wherein in step c), when a transaction request for content is input, the platform server 100 connects the content between the creator terminals (400, 400a, 400b) and the user terminals (500, 500a, 500b). confirming whether the transaction approval request and the transaction approval request for the content transaction approval request are accepted; and as a result of the confirmation, as transaction acceptance is confirmed, the platform server 100 performs a content transaction and inactivates the transaction for the transaction completed content; Metaverse hybrid platform service system further comprising: control method.</t>
  </si>
  <si>
    <t>Rhim, Young Yik</t>
  </si>
  <si>
    <t>G06Q05010000 | G06Q02040000 | G06Q03006000 | G06T01705000 | G06T01900000</t>
  </si>
  <si>
    <t>KR102432524B1</t>
  </si>
  <si>
    <t>KR102432524 B1</t>
  </si>
  <si>
    <t>I-000229600022</t>
  </si>
  <si>
    <t>20 years from 2021-12-28 (file date)</t>
  </si>
  <si>
    <t>https://patentscout.innography.com/share/M7hm8-uyZ5JvHETTpNwRIQ%3D%3D</t>
  </si>
  <si>
    <t>2022-07-27-DECISION TO GRANT OR REGISTRATION OF PATENT RIGHT|2022-08-10-WRITTEN DECISION TO GRANT</t>
  </si>
  <si>
    <t>https://patentscout.innography.com/share/M7hm8-uyZ5JvHETTpNwRIQ%3D%3D/download</t>
  </si>
  <si>
    <t>https://v3.espacenet.com/publicationDetails/biblio?CC=KR&amp;NR=102432524B1&amp;KC=B1&amp;FT=D&amp;date=20220817&amp;DB=EPODOC&amp;locale=</t>
  </si>
  <si>
    <t>KR20102432524 B1</t>
  </si>
  <si>
    <t>1.  Digital map information and metaverse spatial information are managed by linking a certain area selected in an arbitrary area of the digital map - the predetermined area is land or land on the digital map - and managed, and arbitrary content included in the metaverse space a platform server 100 for providing an exhibition experience and a transaction service for the contents, wherein the platform server 100 interworks with digital map information and a predetermined area selected in an arbitrary area of the digital map A creator terminal that manages the generated metaverse space, creates a metaverse space by meta-connecting the selected predetermined area with the space requested by the creator terminals 400 , 400a, 400b, and requests generation of the metaverse space (400 , 400a, 400b) manages payment according to the creation and use of the metaverse space, and the creator terminals 400 , 400a,
The composition and arrangement are set according to the setting information input through 400b), and the information on the generated metaverse space is matched with the meta tag for search, so that the creator terminals 400 , 400a, 400b and the user terminals 500 and 500a , a space management unit 110 that manages to be displayed in response to a search request of 500b);a metaverse space production unit 120 that generates a metaverse space in association with the selected predetermined area;an upload unit 130 for uploading and displaying content information displayed in the metaverse space and additional information on the content;The uploaded content information and additional information are mapped with at least one creator terminal (400 , 400a, 400b), and a non-fungible token (NFT) is generated for content information displayed in a certain area selected from the digital map and metaverse space. a storage unit 140 for generating and storing digital ownership based on uniqueness; and a transaction approval request between the creator terminals 400 , 400a, 400b and the user terminals 500 , 500a, 500b with respect to the transaction request generated in the metaverse space and the transaction and meta of contents based on whether the transaction is accepted or not A metaverse hybrid platform service system comprising: a transaction unit 150 that manages transactions in the bus space, but manages the content displayed in the metaverse space so that digital ownership with uniqueness is traded based on NFT .</t>
  </si>
  <si>
    <t>6.  a) The platform server 100 selects digital map information and a certain area in an arbitrary area of the digital map - the predetermined area is land or land on the digital map - and connects the selected area to the metaverse space Creates information and arbitrary content included in the metaverse space, wherein the platform server 100 interworks with digital map information and a predetermined area selected in an arbitrary area of the digital map to provide a creator terminal ( 400 , 400a, and 400b) to generate a metaverse space by meta-connecting it with the space requested, and performing payment according to the generation and use of the metaverse space to a creator terminal requesting the creation of the metaverse space, and the metaverse space The composition and arrangement are set according to the setting information input through the creator terminals 400 , 400a, and 400b for the content information displayed in and additional information on the content,
A meta mapped to be displayed in response to a search request of the creator terminals 400 , 400a, 400b and the user terminals 500 , 500a, 500b by matching the content information and additional information about the generated metaverse space with a meta tag for search linking the bus spatial information to the digital map;b) the platform server 100 generates digital ownership with uniqueness based on NFT (Non Fungible Token) with respect to a certain area selected from the digital map and content information displayed in the metaverse space, the content information and the uploading and displaying additional information on content; and c) the platform server 100 provides an exhibition experience for the displayed content and a transaction service for the content, and manages the content displayed in the metaverse space so that digital ownership with uniqueness is traded based on NFT A method of controlling a metaverse hybrid platform service system, including:</t>
  </si>
  <si>
    <t>KR20070105088 A | KR20100040829 A | KR20140072400 A | KR20160039776 A | KR20210060030 A | KR20220011061 A</t>
  </si>
  <si>
    <t>2022-09-21</t>
  </si>
  <si>
    <t>2042-05-26</t>
  </si>
  <si>
    <t>The present invention provides a method for providing a character-based payment service using a metaverse implemented in a computing device including one or more processors and one or more memories for storing instructions executable by the processor wherein the user of a fintech platform a character creation step of when receiving customization information from a registered user account generating a character of the user account implemented in the metaverse world a three-dimensional virtual space linked with the fintech platform through the received customization information; While the character creation step is being performed a plurality of second shopping mall platforms that can use benefits based on payment method information registered in the user account among the first plurality of shopping mall platforms linked with the fintech platform are identified and the identification is performed. a virtual store creation step of creating a plurality of virtual stores corresponding to the second plurality of shopping mall platforms and arranging them on the metaverse world; When the virtual store creation step is completed payment method information usable in the created plurality of virtual stores is identified and a benefit object corresponding to the benefits available in each of the plurality of virtual stores is identified through the identified payment method information. benefit object arrangement step of generating and arranging the plurality of virtual stores in each; and as the creation of the character is completed when the user account manipulates the character and visits a first virtual store among the plurality of virtual stores the product sold in the first shopping mall platform corresponding to the first virtual store is displayed. and providing a shopping interface providing a purchaseable shopping interface to the user account so that the user account purchases the product through the shopping interface. In addition various embodiments identified through this document are possible.</t>
  </si>
  <si>
    <t>Method, device and computer-readable recording medium for providing character-based payment service using metaverse</t>
  </si>
  <si>
    <t>Kanak Co., Ltd.</t>
  </si>
  <si>
    <t>Kanak Engineers Ltd</t>
  </si>
  <si>
    <t>KR20220064848A</t>
  </si>
  <si>
    <t>A method of providing a character-based payment service using a metaverse implemented in a computing device including one or more processors and one or more memories for storing instructions executable by the processor, wherein a user registered as a user of a fintech platform a character creation step of, when receiving customization information from an account, creating a character of the user account implemented in a metaverse world, a three-dimensional virtual space linked with the fintech platform, through the received customization information;While the character creation step is being performed, a plurality of second shopping mall platforms that can use benefits based on payment method information registered in the user account among the first plurality of shopping mall platforms linked with the fintech platform are identified, and the identification is performed. a virtual store creation step of creating a plurality of virtual stores corresponding to the second plurality of shopping mall platforms and arranging them on the metaverse world;When the virtual store creation step is completed, payment method information usable in the created plurality of virtual stores is identified, and a benefit object corresponding to the benefits available in each of the plurality of virtual stores is identified through the identified payment method information. benefit object arrangement step of generating and arranging the plurality of virtual stores in each; and when the creation of the character is completed, when the user account manipulates the character and visits a first virtual store among the plurality of virtual stores, the product sold in the first shopping mall platform corresponding to the first virtual store is displayed. A shopping interface providing step for providing a purchaseable shopping interface to the user account to allow the user account to purchase the product through the shopping interface; wherein the virtual store creation step is performed by the character creation step During the process, the benefit information identification step of identifying the benefit information through the payment method information registered in the user account;When the identification of the benefit information is completed, the permitted shopping mall identification for identifying the plurality of second shopping mall platforms that are allowed to use the benefits based on the identified benefit information among the first plurality of shopping mall platforms linked with the fintech platform step; and when the function of identifying the allowed shopping mall is completed, modeling data corresponding to each of the second plurality of shopping mall platforms is extracted from a pre-stored modeling database, and a plurality of virtual stores corresponding to each of the second plurality of shopping mall platforms are completed. and a store creation and placement step of generating and arranging the metaverse world on the metaverse world, wherein the store creation and placement step includes, when the function of the allowed shopping mall identification step is completed, the benefits can be used through the benefit information. a benefit value confirmation step of confirming an allowable benefit value of each of the allowed second plurality of shopping mall platforms;When the function of the benefit number confirmation step is completed, the store rating corresponding to the confirmed allowable benefit value is checked through the stored store rating table, and the store rating for each of the second plurality of shopping mall platforms is confirmed. level verification step; and when the rating confirmation step is completed, modeling data corresponding to the store rating for each of the confirmed second plurality of shopping mall platforms is extracted from the pre-stored modeling database, and the second plurality of and a virtual store arrangement step of creating a plurality of virtual stores on a scale based on the store grade of the shopping mall platform and arranging them on the metaverse world, wherein the benefit object arrangement step includes, when the virtual store creation step is completed, Based on the benefit information included in the payment method information corresponding to the generated plurality of virtual stores, a benefit object corresponding to a benefit that can be provided in each of the plurality of virtual stores is generated and an object is created to be arranged in each of the plurality of virtual stores arrangement step; and when it is detected that the user account accesses the metaverse world in a state in which the object creation and arranging step is completed, check benefit information corresponding to the benefit objects arranged in each of the plurality of virtual stores to determine the remaining validity of the benefits When at least one virtual store whose period is confirmed to be less than or equal to a specified period is detected, a graphic effect is applied to a benefit object arranged in the at least one virtual store, or the at least one virtual store is preferentially placed near a place where the character is logged in a residual benefit inducing step of inducing use of the benefit in at least one virtual store whose remaining validity period is confirmed to be less than or equal to a specified period by relocating to a type information checking step of checking a type of benefit provided by each of the plurality of virtual stores through the benefit information when creating a benefit object corresponding to a possible benefit;an object creation step of generating the benefit object based on the extracted object modeling data by extracting object modeling data corresponding to the identified benefit type from a pre-stored object database when the type information checking step is completed; and an object arranging step of arranging the benefit object at a designated location in each of the plurality of virtual stores to complete the interworking of the benefits provided by each of the plurality of virtual stores when the creation of the benefit object is completed; The providing of the shopping interface may include providing the shopping interface to the user account when the user account accesses the metaverse world and manipulates the character to visit a first virtual store among a plurality of virtual stores on the metaverse world. providing an interface providing step;When the shopping interface is provided to the user account, payment method information based on a payment method owned by the user of the user account is output through an area of the shopping interface, and a plurality of benefit information corresponding to the payment method information being output a detailed benefit guide step of guiding detailed benefits to the user account based on each; and when a product being output on the shopping interface is selected by the user account, when receiving an input for selecting one of the plurality of benefit information from the user account in a state in which a payment process for the selected product is started, the and a payment process completion step of completing payment for the selected product by reflecting a benefit corresponding to the selected benefit information in the payment process, wherein the character creation step includes: payment history information as the shopping interface providing step is completed When is generated, a logo selection for identifying a payment method that the user account uses as the first priority through the generated payment history information, and selecting the logo of the issuing organization that issued the identified payment method from a pre-stored logo database step; and a logo reflecting step of reflecting the selected logo on the clothing item worn by the character when the user account is connected to the metaverse world in a state where the logo selection step is completed; When the time of access to the metaverse world while wearing the clothing item reflecting, satisfies the preset promotion period set by the issuing organization, a customizing cash is paid to the user account to allow the user account to use the customizing cash A method of providing a character-based payment service using the metaverse, characterized in that through</t>
  </si>
  <si>
    <t>A method of providing a character-based payment service using a metaverse implemented in a computing device including one or more processors and one or more memories for storing instructions executable by the processor, wherein a user registered as a user of a fintech platform a character creation step of, when receiving customization information from an account, creating a character of the user account implemented in a metaverse world, a three-dimensional virtual space linked with the fintech platform, through the received customization information;While the character creation step is being performed, a plurality of second shopping mall platforms that can use benefits based on payment method information registered in the user account among the first plurality of shopping mall platforms linked with the fintech platform are identified, and the identification is performed. a virtual store creation step of creating a plurality of virtual stores corresponding to the second plurality of shopping mall platforms and arranging them on the metaverse world;When the virtual store creation step is completed, payment method information usable in the created plurality of virtual stores is identified, and a benefit object corresponding to the benefits available in each of the plurality of virtual stores is identified through the identified payment method information. benefit object arrangement step of generating and arranging the plurality of virtual stores in each; and when the creation of the character is completed, when the user account manipulates the character and visits a first virtual store among the plurality of virtual stores, the product sold in the first shopping mall platform corresponding to the first virtual store is displayed. A shopping interface providing step for providing a purchaseable shopping interface to the user account to allow the user account to purchase the product through the shopping interface; wherein the virtual store creation step is performed by the character creation step During the process, the benefit information identification step of identifying the benefit information through the payment method information registered in the user account;When the identification of the benefit information is completed, the permitted shopping mall identification for identifying the plurality of second shopping mall platforms that are allowed to use the benefits based on the identified benefit information among the first plurality of shopping mall platforms linked with the fintech platform step; and when the function of identifying the allowed shopping mall is completed, modeling data corresponding to each of the second plurality of shopping mall platforms is extracted from a pre-stored modeling database, and a plurality of virtual stores corresponding to each of the second plurality of shopping mall platforms are completed. and a store creation and placement step of generating and arranging the metaverse world on the metaverse world, wherein the store creation and placement step includes, when the function of the allowed shopping mall identification step is completed, the benefits can be used through the benefit information. a benefit value confirmation step of confirming an allowable benefit value of each of the allowed second plurality of shopping mall platforms;When the function of the benefit number confirmation step is completed, the store rating corresponding to the confirmed allowable benefit value is checked through the stored store rating table, and the store rating for each of the second plurality of shopping mall platforms is confirmed. level verification step; and when the rating confirmation step is completed, modeling data corresponding to the store rating for each of the confirmed second plurality of shopping mall platforms is extracted from the pre-stored modeling database, and the second plurality of and a virtual store arrangement step of creating a plurality of virtual stores on a scale based on the store grade of the shopping mall platform and arranging them on the metaverse world, wherein the benefit object arrangement step includes, when the virtual store creation step is completed, Based on the benefit information included in the payment method information corresponding to the generated plurality of virtual stores, a benefit object corresponding to a benefit that can be provided in each of the plurality of virtual stores is generated and an object is created to be arranged in each of the plurality of virtual stores arrangement step; and when it is detected that the user account accesses the metaverse world in a state in which the object creation and arranging step is completed, check benefit information corresponding to the benefit objects arranged in each of the plurality of virtual stores to determine the remaining validity of the benefits When at least one virtual store whose period is confirmed to be less than or equal to a specified period is detected, a graphic effect is applied to a benefit object arranged in the at least one virtual store, or the at least one virtual store is preferentially placed near a place where the character is logged in a residual benefit inducing step of inducing use of the benefit in at least one virtual store whose remaining validity period is confirmed to be less than or equal to a specified period by relocating to a type information checking step of checking a type of benefit provided by each of the plurality of virtual stores through the benefit information when creating a benefit object corresponding to a possible benefit;an object creation step of generating the benefit object based on the extracted object modeling data by extracting object modeling data corresponding to the identified benefit type from a pre-stored object database when the type information checking step is completed; and an object arranging step of arranging the benefit object at a designated location in each of the plurality of virtual stores to complete the interworking of the benefits provided by each of the plurality of virtual stores when the creation of the benefit object is completed; The providing of the shopping interface may include providing the shopping interface to the user account when the user account accesses the metaverse world and manipulates the character to visit a first virtual store among a plurality of virtual stores on the metaverse world. providing an interface providing step;When the shopping interface is provided to the user account, payment method information based on a payment method owned by the user of the user account is output through an area of the shopping interface, and a plurality of benefit information corresponding to the payment method information being output a detailed benefit guide step of guiding detailed benefits to the user account based on each; and when a product being output on the shopping interface is selected by the user account, when receiving an input for selecting one of the plurality of benefit information from the user account in a state in which a payment process for the selected product is started, the and a payment process completion step of completing payment for the selected product by reflecting a benefit corresponding to the selected benefit information in the payment process, wherein the character creation step includes: payment history information as the shopping interface providing step is completed When is generated, a logo selection for identifying a payment method that the user account uses as the first priority through the generated payment history information, and selecting the logo of the issuing organization that issued the identified payment method from a pre-stored logo database step; and a logo reflecting step of reflecting the selected logo on the clothing item worn by the character when the user account is connected to the metaverse world in a state where the logo selection step is completed; When the time of access to the metaverse world while wearing the clothing item reflecting, satisfies the preset promotion period set by the issuing organization, a customizing cash is paid to the user account to allow the user account to use the customizing cash A method of providing a character-based payment service using the metaverse, characterized in that through
delete
delete
delete
delete
The character of claim 1, wherein the type of benefit includes a gift benefit type, an interest-free installment benefit type, a discount benefit type, a payback benefit type, a coupon benefit type, and a mileage benefit type. How to provide payment service based.
delete
delete
In an apparatus for providing a character-based payment service utilizing a metaverse implemented in a computing device including one or more processors and one or more memories for storing instructions executable by the processor, a user registered as a user of a fintech platform a character generation unit that, when receiving customization information from an account, creates a character of the user account in a metaverse world, a three-dimensional virtual space linked to the fintech platform, through the received customization information;While the function of the character generator is being performed, by identifying a plurality of second shopping mall platforms that can use benefits based on payment method information registered in the user account among the first plurality of shopping mall platforms linked with the fintech platform, a virtual store generating unit generating a plurality of virtual stores corresponding to the identified second plurality of shopping mall platforms and arranging them on the metaverse world;When the function of the virtual store creation unit is completed, payment method information corresponding to the generated plurality of virtual stores is identified, and benefits corresponding to benefits that can be provided in each of the plurality of virtual stores through the identified payment method information Benefit object arranging unit for creating an object and arranging it in each of the plurality of virtual stores; and when the creation of the character is completed, when the user account manipulates the character and visits a first virtual store among the plurality of virtual stores, products sold in the first shopping mall platform corresponding to the first virtual store and a shopping interface providing unit that provides a purchaseable shopping interface to the user account to allow the user account to purchase the product through the shopping interface, wherein the virtual store generation unit performs the function of the character generation unit a benefit information identification unit for identifying benefit information through payment method information registered in the user account;When the identification of the benefit information is completed, the permitted shopping mall identification for identifying the second plurality of shopping mall platforms that are allowed to use the benefits based on the identified benefit information among the first plurality of shopping mall platforms linked with the fintech platform wealth; and when the function of the permitted shopping mall identification unit is completed, modeling data corresponding to each of the second plurality of shopping mall platforms is extracted from a pre-stored modeling database, and a plurality of virtual stores corresponding to each of the second plurality of shopping mall platforms are generated. and a store creation and arrangement unit for generating and arranging the metaverse world on the metaverse world, wherein the store creation and arrangement unit is configured to allow the user to use the benefit through the benefit information when the function of the permitted shopping mall identification unit is completed. 2 a benefit number confirmation unit that checks the allowable benefit level of each of the plurality of shopping mall platforms;When the function of the benefit numerical check unit is completed, the store rating corresponding to the confirmed allowable benefit value is checked through the stored store rating table, and the store rating for each of the second plurality of shopping mall platforms is confirmed. confirmation unit; and when the performance of the function of the rating check unit is completed, modeling data corresponding to the store rating for each of the confirmed second plurality of shopping mall platforms is extracted from the pre-stored modeling database, and through the extracted modeling data, the second and a virtual store arrangement unit that creates a plurality of virtual stores on a scale based on the store grades of a plurality of shopping mall platforms and places them on the metaverse world, wherein the benefit object arrangement unit completes the function of the virtual store creation unit Then, based on the benefit information included in the payment method information corresponding to the generated plurality of virtual stores, a benefit object corresponding to the benefits that can be provided in each of the plurality of virtual stores is created and arranged in each of the plurality of virtual stores an object creation array unit; and when it is detected that the user account accesses the metaverse world in a state in which the function of the object creation and arrangement unit has been performed, the benefit information corresponding to the benefit objects arranged in each of the plurality of virtual stores is checked and the benefit information is obtained. When at least one virtual store whose remaining validity period is confirmed to be less than or equal to a specified period is detected, a graphic effect is applied to a benefit object arranged in the at least one virtual store, or the at least one virtual store is located near a place where the character is logged in and a residual benefit inducing unit for preferentially rearranging and guiding the user to use the benefit in at least one virtual store whose remaining validity period is confirmed to be less than or equal to a specified period, wherein the object creation arranging unit is provided in each of the plurality of virtual stores a type information checking unit for checking a type of benefit provided by each of the plurality of virtual stores through the benefit information when generating a benefit object corresponding to a possible benefit;an object generating unit for generating the benefit object based on the extracted object modeling data by extracting object modeling data corresponding to the identified type of benefit from a pre-stored object database when the function of the type information check unit is completed; and an object arranging unit for arranging the benefit object at a designated location in each of the plurality of virtual stores to complete the interworking of the benefits provided by each of the plurality of virtual stores when the creation of the benefit object is completed; The shopping interface providing unit provides the shopping interface to the user account when the user account accesses the metaverse world and manipulates the character to visit a first virtual store among a plurality of virtual stores on the metaverse world an interface providing unit;When the shopping interface is provided to the user account, payment method information based on a payment method owned by the user of the user account is output through one area of the shopping interface, and a plurality of benefit information corresponding to the payment method information being output a detailed benefit guide for guiding detailed benefits to the user account based on each; and when a product being output on the shopping interface is selected by the user account, upon receiving an input for selecting one of the plurality of benefit information from the user account in a state in which a payment process for the selected product is started, the and a payment process completion unit that completes payment for the selected product by reflecting a benefit corresponding to the selected benefit information to the payment process, wherein the character creation unit includes, as the shopping interface providing step is completed, payment history information is When generated, a logo selection unit that identifies a payment method used by the user account as the first priority through the generated payment history information, and selects a logo of the issuing organization that issued the identified payment method from a pre-stored logo database; and a logo reflecting unit that reflects the selected logo on the clothing item worn by the character when the user account is connected to the metaverse world in a state in which the function of the logo selection unit is performed. When the time of access to the metaverse world while wearing the clothing item with the selected logo reflected satisfies the preset promotion period set by the issuing organization, a customizing cash is paid to the user account so that the user account An apparatus for providing a character-based payment service using the metaverse, characterized in that the user purchases clothing items from a clothing store arranged on the metaverse world through a customizing cash.
A computer-readable recording medium, comprising: storing instructions for causing a computing device to perform the following steps;When receiving customization information from a user account registered as a user of the fintech platform, a character that creates a character of the user account in the metaverse world, a three-dimensional virtual space linked to the fintech platform, through the received customization information generating step;While the character creation step is being performed, a plurality of second shopping mall platforms that can use benefits based on payment method information registered in the user account among the first plurality of shopping mall platforms linked with the fintech platform are identified, and the identification is performed. a virtual store creation step of creating a plurality of virtual stores corresponding to the second plurality of shopping mall platforms and arranging them on the metaverse world;When the virtual store creation step is completed, payment method information corresponding to the created plurality of virtual stores is identified, and a benefit object corresponding to benefits that can be provided in each of the plurality of virtual stores is identified through the identified payment method information. a benefit object arrangement step of generating and arranging the plurality of virtual stores in each; and when the creation of the character is completed, when the user account manipulates the character and visits a first virtual store among the plurality of virtual stores, products sold in the first shopping mall platform corresponding to the first virtual store A shopping interface providing step for providing a purchaseable shopping interface to the user account to allow the user account to purchase the product through the shopping interface; wherein the virtual store creation step is performed by the character creation step While being, the benefit information identification step of identifying the benefit information through the payment method information registered in the user account;When the identification of the benefit information is completed, the permitted shopping mall identification for identifying the plurality of second shopping mall platforms that are allowed to use the benefits based on the identified benefit information among the first plurality of shopping mall platforms linked with the fintech platform step; and when the function of identifying the allowed shopping mall is completed, modeling data corresponding to each of the second plurality of shopping mall platforms is extracted from a pre-stored modeling database, and a plurality of virtual stores corresponding to each of the second plurality of shopping mall platforms are completed. and a store creation and placement step of generating and arranging the metaverse world on the metaverse world, wherein the store creation and placement step includes, when the function of the allowed shopping mall identification step is completed, the benefits can be used through the benefit information. a benefit value confirmation step of confirming an allowable benefit value of each of the allowed second plurality of shopping mall platforms;When the function of the benefit number confirmation step is completed, the store rating corresponding to the confirmed allowable benefit value is checked through the stored store rating table, and the store rating for each of the second plurality of shopping mall platforms is confirmed. level verification step; and when the rating confirmation step is completed, modeling data corresponding to the store rating for each of the confirmed second plurality of shopping mall platforms is extracted from the pre-stored modeling database, and the second plurality of and a virtual store arrangement step of creating a plurality of virtual stores on a scale based on the store grade of the shopping mall platform and arranging them on the metaverse world, wherein the benefit object arrangement step includes, when the virtual store creation step is completed, Based on the benefit information included in the payment method information corresponding to the generated plurality of virtual stores, a benefit object corresponding to a benefit that can be provided in each of the plurality of virtual stores is generated and an object is created to be arranged in each of the plurality of virtual stores arrangement step; and when it is detected that the user account accesses the metaverse world in a state in which the object creation and arranging step is completed, check benefit information corresponding to the benefit objects arranged in each of the plurality of virtual stores to determine the remaining validity of the benefits When at least one virtual store whose period is confirmed to be less than or equal to a specified period is detected, a graphic effect is applied to a benefit object arranged in the at least one virtual store, or the at least one virtual store is preferentially placed near a place where the character is logged in a residual benefit inducing step of inducing use of the benefit in at least one virtual store whose remaining validity period is confirmed to be less than or equal to a specified period by relocating to a type information checking step of checking a type of benefit provided by each of the plurality of virtual stores through the benefit information when creating a benefit object corresponding to a possible benefit;an object creation step of generating the benefit object based on the extracted object modeling data by extracting object modeling data corresponding to the identified benefit type from a pre-stored object database when the type information checking step is completed; and an object arranging step of arranging the benefit object at a designated location in each of the plurality of virtual stores to complete the interworking of the benefits provided by each of the plurality of virtual stores when the creation of the benefit object is completed; The providing of the shopping interface may include providing the shopping interface to the user account when the user account accesses the metaverse world and manipulates the character to visit a first virtual store among a plurality of virtual stores on the metaverse world. providing an interface providing step;When the shopping interface is provided to the user account, payment method information based on a payment method owned by the user of the user account is output through an area of the shopping interface, and a plurality of benefit information corresponding to the payment method information being output a detailed benefit guide step of guiding detailed benefits to the user account based on each; and when a product being output on the shopping interface is selected by the user account, when receiving an input for selecting one of the plurality of benefit information from the user account in a state in which a payment process for the selected product is started, the and a payment process completion step of completing payment for the selected product by reflecting a benefit corresponding to the selected benefit information in the payment process, wherein the character creation step includes: payment history information as the shopping interface providing step is completed When is generated, a logo selection for identifying a payment method that the user account uses as the first priority through the generated payment history information, and selecting the logo of the issuing organization that issued the identified payment method from a pre-stored logo database step; and a logo reflecting step of reflecting the selected logo on the clothing item worn by the character when the user account is connected to the metaverse world in a state where the logo selection step is completed; When the time of access to the metaverse world while wearing the clothing item reflecting, satisfies the preset promotion period set by the issuing organization, a customizing cash is paid to the user account to allow the user account to use the customizing cash The computer-readable recording medium of claim 1, wherein the user purchases a clothing item from a clothing store disposed on the metaverse world through</t>
  </si>
  <si>
    <t>Lim, Chan Seo</t>
  </si>
  <si>
    <t>G06Q0020120000</t>
  </si>
  <si>
    <t>G06Q02012000</t>
  </si>
  <si>
    <t>G06Q02012000 | G06Q02014000 | G06Q02040000 | G06Q03002000 | G06Q03006000 | G06Q05010000</t>
  </si>
  <si>
    <t>KR102445745B1</t>
  </si>
  <si>
    <t>KR102445745 B1</t>
  </si>
  <si>
    <t>I-000230623935</t>
  </si>
  <si>
    <t>20 years from 2022-05-26 (file date)</t>
  </si>
  <si>
    <t>https://patentscout.innography.com/share/6RuLBWARVVLq_dMgitFt6w%3D%3D</t>
  </si>
  <si>
    <t>https://patentscout.innography.com/share/6RuLBWARVVLq_dMgitFt6w%3D%3D/download</t>
  </si>
  <si>
    <t>https://v3.espacenet.com/publicationDetails/biblio?CC=KR&amp;NR=102445745B1&amp;KC=B1&amp;FT=D&amp;date=20220921&amp;DB=EPODOC&amp;locale=</t>
  </si>
  <si>
    <t>KR20102445745 B1</t>
  </si>
  <si>
    <t>1.  A method of providing a character-based payment service using a metaverse implemented in a computing device including one or more processors and one or more memories for storing instructions executable by the processor, wherein a user registered as a user of a fintech platform a character creation step of, when receiving customization information from an account, creating a character of the user account implemented in a metaverse world, a three-dimensional virtual space linked with the fintech platform, through the received customization information;While the character creation step is being performed, a plurality of second shopping mall platforms that can use benefits based on payment method information registered in the user account among the first plurality of shopping mall platforms linked with the fintech platform are identified, and the identification is performed. a virtual store creation step of creating a plurality of virtual stores corresponding to the second plurality of shopping mall platforms and arranging them on the metaverse world;When the virtual store creation step is completed, payment method information usable in the created plurality of virtual stores is identified, and a benefit object corresponding to the benefits available in each of the plurality of virtual stores is identified through the identified payment method information. benefit object arrangement step of generating and arranging the plurality of virtual stores in each; and when the creation of the character is completed, when the user account manipulates the character and visits a first virtual store among the plurality of virtual stores, the product sold in the first shopping mall platform corresponding to the first virtual store is displayed. A shopping interface providing step for providing a purchaseable shopping interface to the user account to allow the user account to purchase the product through the shopping interface; wherein the virtual store creation step is performed by the character creation step During the process, the benefit information identification step of identifying the benefit information through the payment method information registered in the user account;When the identification of the benefit information is completed, the permitted shopping mall identification for identifying the plurality of second shopping mall platforms that are allowed to use the benefits based on the identified benefit information among the first plurality of shopping mall platforms linked with the fintech platform step; and when the function of identifying the allowed shopping mall is completed, modeling data corresponding to each of the second plurality of shopping mall platforms is extracted from a pre-stored modeling database, and a plurality of virtual stores corresponding to each of the second plurality of shopping mall platforms are completed. and a store creation and placement step of generating and arranging the metaverse world on the metaverse world, wherein the store creation and placement step includes, when the function of the allowed shopping mall identification step is completed, the benefits can be used through the benefit information. a benefit value confirmation step of confirming an allowable benefit value of each of the allowed second plurality of shopping mall platforms;When the function of the benefit number confirmation step is completed, the store rating corresponding to the confirmed allowable benefit value is checked through the stored store rating table, and the store rating for each of the second plurality of shopping mall platforms is confirmed. level verification step; and when the rating confirmation step is completed, modeling data corresponding to the store rating for each of the confirmed second plurality of shopping mall platforms is extracted from the pre-stored modeling database, and the second plurality of and a virtual store arrangement step of creating a plurality of virtual stores on a scale based on the store grade of the shopping mall platform and arranging them on the metaverse world, wherein the benefit object arrangement step includes, when the virtual store creation step is completed, Based on the benefit information included in the payment method information corresponding to the generated plurality of virtual stores, a benefit object corresponding to a benefit that can be provided in each of the plurality of virtual stores is generated and an object is created to be arranged in each of the plurality of virtual stores arrangement step; and when it is detected that the user account accesses the metaverse world in a state in which the object creation and arranging step is completed, check benefit information corresponding to the benefit objects arranged in each of the plurality of virtual stores to determine the remaining validity of the benefits When at least one virtual store whose period is confirmed to be less than or equal to a specified period is detected, a graphic effect is applied to a benefit object arranged in the at least one virtual store, or the at least one virtual store is preferentially placed near a place where the character is logged in a residual benefit inducing step of inducing use of the benefit in at least one virtual store whose remaining validity period is confirmed to be less than or equal to a specified period by relocating to a type information checking step of checking a type of benefit provided by each of the plurality of virtual stores through the benefit information when creating a benefit object corresponding to a possible benefit;an object creation step of generating the benefit object based on the extracted object modeling data by extracting object modeling data corresponding to the identified benefit type from a pre-stored object database when the type information checking step is completed; and an object arranging step of arranging the benefit object at a designated location in each of the plurality of virtual stores to complete the interworking of the benefits provided by each of the plurality of virtual stores when the creation of the benefit object is completed; The providing of the shopping interface may include providing the shopping interface to the user account when the user account accesses the metaverse world and manipulates the character to visit a first virtual store among a plurality of virtual stores on the metaverse world. providing an interface providing step;When the shopping interface is provided to the user account, payment method information based on a payment method owned by the user of the user account is output through an area of the shopping interface, and a plurality of benefit information corresponding to the payment method information being output a detailed benefit guide step of guiding detailed benefits to the user account based on each; and when a product being output on the shopping interface is selected by the user account, when receiving an input for selecting one of the plurality of benefit information from the user account in a state in which a payment process for the selected product is started, the and a payment process completion step of completing payment for the selected product by reflecting a benefit corresponding to the selected benefit information in the payment process, wherein the character creation step includes: payment history information as the shopping interface providing step is completed When is generated, a logo selection for identifying a payment method that the user account uses as the first priority through the generated payment history information, and selecting the logo of the issuing organization that issued the identified payment method from a pre-stored logo database step; and a logo reflecting step of reflecting the selected logo on the clothing item worn by the character when the user account is connected to the metaverse world in a state where the logo selection step is completed; When the time of access to the metaverse world while wearing the clothing item reflecting, satisfies the preset promotion period set by the issuing organization, a customizing cash is paid to the user account to allow the user account to use the customizing cash A method of providing a character-based payment service using the metaverse, characterized in that through</t>
  </si>
  <si>
    <t>9.  In an apparatus for providing a character-based payment service utilizing a metaverse implemented in a computing device including one or more processors and one or more memories for storing instructions executable by the processor, a user registered as a user of a fintech platform a character generation unit that, when receiving customization information from an account, creates a character of the user account in a metaverse world, a three-dimensional virtual space linked to the fintech platform, through the received customization information;While the function of the character generator is being performed, by identifying a plurality of second shopping mall platforms that can use benefits based on payment method information registered in the user account among the first plurality of shopping mall platforms linked with the fintech platform, a virtual store generating unit generating a plurality of virtual stores corresponding to the identified second plurality of shopping mall platforms and arranging them on the metaverse world;When the function of the virtual store creation unit is completed, payment method information corresponding to the generated plurality of virtual stores is identified, and benefits corresponding to benefits that can be provided in each of the plurality of virtual stores through the identified payment method information Benefit object arranging unit for creating an object and arranging it in each of the plurality of virtual stores; and when the creation of the character is completed, when the user account manipulates the character and visits a first virtual store among the plurality of virtual stores, products sold in the first shopping mall platform corresponding to the first virtual store and a shopping interface providing unit that provides a purchaseable shopping interface to the user account to allow the user account to purchase the product through the shopping interface, wherein the virtual store generation unit performs the function of the character generation unit a benefit information identification unit for identifying benefit information through payment method information registered in the user account;When the identification of the benefit information is completed, the permitted shopping mall identification for identifying the second plurality of shopping mall platforms that are allowed to use the benefits based on the identified benefit information among the first plurality of shopping mall platforms linked with the fintech platform wealth; and when the function of the permitted shopping mall identification unit is completed, modeling data corresponding to each of the second plurality of shopping mall platforms is extracted from a pre-stored modeling database, and a plurality of virtual stores corresponding to each of the second plurality of shopping mall platforms are generated. and a store creation and arrangement unit for generating and arranging the metaverse world on the metaverse world, wherein the store creation and arrangement unit is configured to allow the user to use the benefit through the benefit information when the function of the permitted shopping mall identification unit is completed. 2 a benefit number confirmation unit that checks the allowable benefit level of each of the plurality of shopping mall platforms;When the function of the benefit numerical check unit is completed, the store rating corresponding to the confirmed allowable benefit value is checked through the stored store rating table, and the store rating for each of the second plurality of shopping mall platforms is confirmed. confirmation unit; and when the performance of the function of the rating check unit is completed, modeling data corresponding to the store rating for each of the confirmed second plurality of shopping mall platforms is extracted from the pre-stored modeling database, and through the extracted modeling data, the second and a virtual store arrangement unit that creates a plurality of virtual stores on a scale based on the store grades of a plurality of shopping mall platforms and places them on the metaverse world, wherein the benefit object arrangement unit completes the function of the virtual store creation unit Then, based on the benefit information included in the payment method information corresponding to the generated plurality of virtual stores, a benefit object corresponding to the benefits that can be provided in each of the plurality of virtual stores is created and arranged in each of the plurality of virtual stores an object creation array unit; and when it is detected that the user account accesses the metaverse world in a state in which the function of the object creation and arrangement unit has been performed, the benefit information corresponding to the benefit objects arranged in each of the plurality of virtual stores is checked and the benefit information is obtained. When at least one virtual store whose remaining validity period is confirmed to be less than or equal to a specified period is detected, a graphic effect is applied to a benefit object arranged in the at least one virtual store, or the at least one virtual store is located near a place where the character is logged in and a residual benefit inducing unit for preferentially rearranging and guiding the user to use the benefit in at least one virtual store whose remaining validity period is confirmed to be less than or equal to a specified period, wherein the object creation arranging unit is provided in each of the plurality of virtual stores a type information checking unit for checking a type of benefit provided by each of the plurality of virtual stores through the benefit information when generating a benefit object corresponding to a possible benefit;an object generating unit for generating the benefit object based on the extracted object modeling data by extracting object modeling data corresponding to the identified type of benefit from a pre-stored object database when the function of the type information check unit is completed; and an object arranging unit for arranging the benefit object at a designated location in each of the plurality of virtual stores to complete the interworking of the benefits provided by each of the plurality of virtual stores when the creation of the benefit object is completed; The shopping interface providing unit provides the shopping interface to the user account when the user account accesses the metaverse world and manipulates the character to visit a first virtual store among a plurality of virtual stores on the metaverse world an interface providing unit;When the shopping interface is provided to the user account, payment method information based on a payment method owned by the user of the user account is output through one area of the shopping interface, and a plurality of benefit information corresponding to the payment method information being output a detailed benefit guide for guiding detailed benefits to the user account based on each; and when a product being output on the shopping interface is selected by the user account, upon receiving an input for selecting one of the plurality of benefit information from the user account in a state in which a payment process for the selected product is started, the and a payment process completion unit that completes payment for the selected product by reflecting a benefit corresponding to the selected benefit information to the payment process, wherein the character creation unit includes, as the shopping interface providing step is completed, payment history information is When generated, a logo selection unit that identifies a payment method used by the user account as the first priority through the generated payment history information, and selects a logo of the issuing organization that issued the identified payment method from a pre-stored logo database; and a logo reflecting unit that reflects the selected logo on the clothing item worn by the character when the user account is connected to the metaverse world in a state in which the function of the logo selection unit is performed. When the time of access to the metaverse world while wearing the clothing item with the selected logo reflected satisfies the preset promotion period set by the issuing organization, a customizing cash is paid to the user account so that the user account An apparatus for providing a character-based payment service using the metaverse, characterized in that the user purchases clothing items from a clothing store arranged on the metaverse world through a customizing cash.</t>
  </si>
  <si>
    <t>JP2014006874 A | KR20040096799 A | KR20060032409 A | KR20120011772 A | KR20170068741 A | KR20200071990 A</t>
  </si>
  <si>
    <t>KR102469274 B1</t>
  </si>
  <si>
    <t>2021-12-22</t>
  </si>
  <si>
    <t>2041-08-31</t>
  </si>
  <si>
    <t>The present invention discloses an artificial intelligence-based platform providing system and method for implementing a metaverse digital idol. The artificial intelligence-based platform providing system for implementing the metaverse digital idol receives motion data and biometric data from a user and generates metaverse data generated by synchronizing a digital idol of the metaverse with a user in the real world The metaverse data includes a metaverse-implemented server performed using the biometric data and the motion data and an electronic device that receives and displays the metaverse data from the metaverse-implemented server wherein the metaverse-implemented server includes: A digital idol database that stores idol information a motion change calculator that uses the motion data and the digital idol information to create a character motion sequence that defines the movement of the digital idol and uses the biometric data and the digital idol information a shading change calculator that generates character shading data defining the appearance of the digital idol; and a graphic processing unit generating the metaverse data including graphic data of the digital idol synchronized with the user through the character motion sequence and the character shading data.</t>
  </si>
  <si>
    <t>System for providing artificial intelligence-based platform implementing metaverse digital idol and method thereof</t>
  </si>
  <si>
    <t>platform implementing|idol|artificial intelligence based|providing artificial|platform implements|motion data|biometric data|change amount|motion sequence</t>
  </si>
  <si>
    <t>Samg Entertainment Co., Ltd.</t>
  </si>
  <si>
    <t>SAMG ENTERTAINMENT CO., LTD.</t>
  </si>
  <si>
    <t>KR20210115960A</t>
  </si>
  <si>
    <t>It receives motion data and biometric data from a user, and generates metaverse data generated by synchronizing a digital idol of a metaverse with a user in the real world, and the metaverse data is performed using the biometric data and the motion data. metaverse implementation server;and an electronic device that receives and displays the metaverse data from the metaverse server, wherein the metaverse server uses a digital idol database for storing digital idol information, and the motion data and the digital idol information. a motion change calculating unit for generating a character motion sequence defining the movement of the digital idol; a shading change calculating unit for generating character shading data defining the appearance of the digital idol using the biometric data and the digital idol information; a graphic processing unit generating the metaverse data including graphic data of the digital idol synchronized with the user through the character motion sequence and the character shading data, wherein the metaverse implementation server normalizes the motion data Further comprising: a motion data receiver to generate normal motion data; and a biometric data receiver to normalize the biometric data to generate normal biometric data;The motion change calculating unit and the shading change calculating unit receive the motion normal data and the bionormal data, respectively, and the motion change calculating unit includes: character motion information, a background based on the motion normal data, the biometric data, and digital idol information a first input information calculation module for generating information and character setting information, wherein the character motion information includes a first input information calculation module including heart rate information of the digital idol; a change in lung volume of the digital idol according to the heart rate; A motion change calculation module that derives the amount of change in posture, the amount of change in the shape of each part of the body, and the amount of sweat, generates a character motion sequence, and a pre-clothing motion sequence using the character motion sequence, and based on the sweat amount Comprising a clothing motion change calculation module that calculates a friction force between the body of the character and the clothing, and outputs a clothing motion sequence by correcting the pre-clothing motion sequence based on the friction force,The lung volume change amount means a time-series change amount with respect to the size of the lungs of the character, the posture change amount means a time-series change amount of a plurality of points expressing the movement of the character, and the shape change amount means a chest of the character including a shape change amount and an abdominal shape change amount, and when the heart rate is higher than a predetermined reference value, the chest shape change amount is set to be greater than the abdominal shape change amount, and when the heart rate is lower than a predetermined reference value, the chest shape change amount is the an artificial intelligence module set to be smaller than the amount of change in the abdominal shape, wherein the motion change calculation module receives the heart rate and provides the change in lung volume, the amount of change in the posture, and the amount of change in the shape of each body part as an output thereof; The amount of change in lung volume output from the artificial intelligence module, the amount of change in posture, and the amount of change in the shape of each part of the body are combined with the character motion information;A motion compensation module for outputting the character motion sequence by compensating based on the background information and the character setting information, and a pre-stored template for grouping a plurality of pre-scanned 3D meshes into any one of parameters included in the character setting information Aligning the plurality of 3D meshes grouped using a mesh, deriving the average value of the lung volume change amount, the posture change amount, and the shape change amount of each body part of the aligned plurality of 3D meshes, and using the derived average value, the artificial An artificial intelligence training module for generating training data for training intelligence, wherein the character motion information includes at least one of a posture, fatigue, and emotion of the character, and a heart rate of the character, wherein the background information includes: An artificial intelligence-based platform providing system for implementing a metaverse digital idol including at least one of temperature, humidity, and time zone, and wherein the character setting information includes at least one of gender, age, body type, and size of the character.</t>
  </si>
  <si>
    <t>It receives motion data and biometric data from a user, and generates metaverse data generated by synchronizing a digital idol of a metaverse with a user in the real world, and the metaverse data is performed using the biometric data and the motion data. metaverse implementation server;
and an electronic device that receives and displays the metaverse data from the metaverse server, wherein the metaverse server uses a digital idol database for storing digital idol information, and the motion data and the digital idol information. a motion change calculating unit for generating a character motion sequence defining the movement of the digital idol; a shading change calculating unit for generating character shading data defining the appearance of the digital idol using the biometric data and the digital idol information; a graphic processing unit generating the metaverse data including graphic data of the digital idol synchronized with the user through the character motion sequence and the character shading data, wherein the metaverse implementation server normalizes the motion data Further comprising: a motion data receiver to generate normal motion data; and a biometric data receiver to normalize the biometric data to generate normal biometric data;
The motion change calculating unit and the shading change calculating unit receive the motion normal data and the bionormal data, respectively, and the motion change calculating unit includes: character motion information, a background based on the motion normal data, the biometric data, and digital idol information a first input information calculation module for generating information and character setting information, wherein the character motion information includes a first input information calculation module including heart rate information of the digital idol; a change in lung volume of the digital idol according to the heart rate; A motion change calculation module that derives the amount of change in posture, the amount of change in the shape of each part of the body, and the amount of sweat, generates a character motion sequence, and a pre-clothing motion sequence using the character motion sequence, and based on the sweat amount Comprising a clothing motion change calculation module that calculates a friction force between the body of the character and the clothing, and outputs a clothing motion sequence by correcting the pre-clothing motion sequence based on the friction force,
The lung volume change amount means a time-series change amount with respect to the size of the lungs of the character, the posture change amount means a time-series change amount of a plurality of points expressing the movement of the character, and the shape change amount means a chest of the character including a shape change amount and an abdominal shape change amount, and when the heart rate is higher than a predetermined reference value, the chest shape change amount is set to be greater than the abdominal shape change amount, and when the heart rate is lower than a predetermined reference value, the chest shape change amount is the an artificial intelligence module set to be smaller than the amount of change in the abdominal shape, wherein the motion change calculation module receives the heart rate and provides the change in lung volume, the amount of change in the posture, and the amount of change in the shape of each body part as an output thereof; The amount of change in lung volume output from the artificial intelligence module, the amount of change in posture, and the amount of change in the shape of each part of the body are combined with the character motion information;
A motion compensation module for outputting the character motion sequence by compensating based on the background information and the character setting information, and a pre-stored template for grouping a plurality of pre-scanned 3D meshes into any one of parameters included in the character setting information Aligning the plurality of 3D meshes grouped using a mesh, deriving the average value of the lung volume change amount, the posture change amount, and the shape change amount of each body part of the aligned plurality of 3D meshes, and using the derived average value, the artificial An artificial intelligence training module for generating training data for training intelligence, wherein the character motion information includes at least one of a posture, fatigue, and emotion of the character, and a heart rate of the character, wherein the background information includes: An artificial intelligence-based platform providing system for implementing a metaverse digital idol including at least one of temperature, humidity, and time zone, and wherein the character setting information includes at least one of gender, age, body type, and size of the character.
The rating score according to claim 1, wherein the metaverse implementation server generates digital idol content through the metaverse data, receives the digital idol content and uploads it to a social networking service (SNS), and collects users' preferences Metaverse digital further comprising: an SNS server that calculates An artificial intelligence-based platform providing system that realizes idols.
The system of claim 2, wherein the metaverse management server receives purchase information from the user, and the reward information is generated based on the purchase information and the rating score. .
The system for providing an artificial intelligence-based platform according to claim 3, wherein the purchase information implements a metaverse digital idol generated through purchase authentication information obtained from purchased toys and/or purchased contents.
The system of claim 4 , wherein the purchase authentication information is generated by recognizing at least one of a barcode, a QR code, and a serial number to implement a metaverse digital idol.
delete
delete
Receive motion data and biometric data from a user, normalize the motion data to generate motion normal data, normalize the biometric data to generate normal biometric data, digital idol information, the motion normal data, and the normal biometric data Generates a character motion sequence through , generates character shading data through the digital idol information, the motion normal data, and the bionormal data, and performs character graphic processing through the character motion sequence and the character shading data in the real world generating metaverse data that implements a digital idol of a metaverse synchronized with the user of information, background information, and character setting information are generated, and the character motion information includes heart rate information of a digital idol;
The digital idol's lung volume change amount, posture change amount, body shape change amount, and sweat amount are derived according to the heart rate by the artificial intelligence module, and the digital idol's lung volume change amount, posture change amount, and shape change amount of each body part generates a character motion sequence by compensating based on the character motion information, the background information, and the character setting information, generates a pre-clothing motion sequence using the character motion sequence, and generates the character based on the sweat calculates the friction force between the body and the clothing of , and corrects the pre-clothing motion sequence based on the friction force to generate a clothing motion sequence, and the amount of change in lung volume is the amount of time-series change with respect to the size of the character's lungs means, the amount of change in the posture means the amount of time-series change of a plurality of points expressing the movement of the character, and the amount of change in the shape includes the amount of change in the chest shape of the character and the amount of change in the abdominal shape,
When the heart rate is higher than a predetermined reference value, the chest shape change amount is set to be greater than the abdominal shape change amount, and when the heart rate is lower than the predetermined reference value, the chest shape change amount is set smaller than the abdominal shape change amount, and the artificial The intelligence module is trained by an artificial intelligence training module, and the artificial intelligence training module groups a plurality of pre-scanned 3D meshes into any one of the parameters included in the character setting information, and the grouped using a pre-stored template mesh. Align a plurality of 3D meshes, derive the average value of the lung volume change amount, the posture change amount, and the shape change amount of each body part of the aligned plurality of 3D meshes, and train the AI module using the derived average value, and the The character motion information includes at least one of a posture, fatigue, and emotion of the character, and a heart rate of the character, and the background information includes at least one of a background temperature, humidity, and time zone,
The character setting information is an artificial intelligence-based platform providing method for implementing a metaverse digital idol including at least one of gender, age, body type, and size of the character.
9. The method of claim 8, wherein digital idol content is generated using the metaverse data, the digital idol content is uploaded to an SNS to calculate a rating score, and a reward score is generated according to the rating score to generate the digital idol content in the metaverse. A method of providing an artificial intelligence-based platform that implements a metaverse digital idol further comprising linking to a user's account.
The artificial intelligence-based platform for implementing a metaverse digital idol according to claim 8, further comprising generating a clothing motion sequence through the digital idol information, the motion normal data, the bionormal data, and the character motion sequence Way.</t>
  </si>
  <si>
    <t>Seo, Bow Kook|Kim, Jong Cheol</t>
  </si>
  <si>
    <t>G06Q05010000 | G06N00302000 | G06Q02040000 | G06Q03002000 | G06Q03006000 | G06Q05000000 | G06T01340000 | G06T01580000 | G06T01900000</t>
  </si>
  <si>
    <t>KR102341866B1</t>
  </si>
  <si>
    <t>KR102341866 B1</t>
  </si>
  <si>
    <t>I-000219858101</t>
  </si>
  <si>
    <t>20 years from 2021-08-31 (file date)</t>
  </si>
  <si>
    <t>https://patentscout.innography.com/share/8aDOLe3Q199Cte2pFCzqUA%3D%3D</t>
  </si>
  <si>
    <t>2021-11-12-NOTIFICATION OF REASON FOR REFUSAL|2021-12-15-DECISION TO GRANT OR REGISTRATION OF PATENT RIGHT|2021-12-16-WRITTEN DECISION TO GRANT</t>
  </si>
  <si>
    <t>https://patentscout.innography.com/share/8aDOLe3Q199Cte2pFCzqUA%3D%3D/download</t>
  </si>
  <si>
    <t>https://v3.espacenet.com/publicationDetails/biblio?CC=KR&amp;NR=102341866B1&amp;KC=B1&amp;FT=D&amp;date=20211222&amp;DB=EPODOC&amp;locale=</t>
  </si>
  <si>
    <t>KR20102341866 B1</t>
  </si>
  <si>
    <t>1.  It receives motion data and biometric data from a user, and generates metaverse data generated by synchronizing a digital idol of a metaverse with a user in the real world, and the metaverse data is performed using the biometric data and the motion data. metaverse implementation server;
and an electronic device that receives and displays the metaverse data from the metaverse server, wherein the metaverse server uses a digital idol database for storing digital idol information, and the motion data and the digital idol information. a motion change calculating unit for generating a character motion sequence defining the movement of the digital idol; a shading change calculating unit for generating character shading data defining the appearance of the digital idol using the biometric data and the digital idol information; a graphic processing unit generating the metaverse data including graphic data of the digital idol synchronized with the user through the character motion sequence and the character shading data, wherein the metaverse implementation server normalizes the motion data Further comprising: a motion data receiver to generate normal motion data; and a biometric data receiver to normalize the biometric data to generate normal biometric data;
The motion change calculating unit and the shading change calculating unit receive the motion normal data and the bionormal data, respectively, and the motion change calculating unit includes: character motion information, a background based on the motion normal data, the biometric data, and digital idol information a first input information calculation module for generating information and character setting information, wherein the character motion information includes a first input information calculation module including heart rate information of the digital idol; a change in lung volume of the digital idol according to the heart rate; A motion change calculation module that derives the amount of change in posture, the amount of change in the shape of each part of the body, and the amount of sweat, generates a character motion sequence, and a pre-clothing motion sequence using the character motion sequence, and based on the sweat amount Comprising a clothing motion change calculation module that calculates a friction force between the body of the character and the clothing, and outputs a clothing motion sequence by correcting the pre-clothing motion sequence based on the friction force,
The lung volume change amount means a time-series change amount with respect to the size of the lungs of the character, the posture change amount means a time-series change amount of a plurality of points expressing the movement of the character, and the shape change amount means a chest of the character including a shape change amount and an abdominal shape change amount, and when the heart rate is higher than a predetermined reference value, the chest shape change amount is set to be greater than the abdominal shape change amount, and when the heart rate is lower than a predetermined reference value, the chest shape change amount is the an artificial intelligence module set to be smaller than the amount of change in the abdominal shape, wherein the motion change calculation module receives the heart rate and provides the change in lung volume, the amount of change in the posture, and the amount of change in the shape of each body part as an output thereof; The amount of change in lung volume output from the artificial intelligence module, the amount of change in posture, and the amount of change in the shape of each part of the body are combined with the character motion information;
A motion compensation module for outputting the character motion sequence by compensating based on the background information and the character setting information, and a pre-stored template for grouping a plurality of pre-scanned 3D meshes into any one of parameters included in the character setting information Aligning the plurality of 3D meshes grouped using a mesh, deriving the average value of the lung volume change amount, the posture change amount, and the shape change amount of each body part of the aligned plurality of 3D meshes, and using the derived average value, the artificial An artificial intelligence training module for generating training data for training intelligence, wherein the character motion information includes at least one of a posture, fatigue, and emotion of the character, and a heart rate of the character, wherein the background information includes: An artificial intelligence-based platform providing system for implementing a metaverse digital idol including at least one of temperature, humidity, and time zone, and wherein the character setting information includes at least one of gender, age, body type, and size of the character.</t>
  </si>
  <si>
    <t>8.  Receive motion data and biometric data from a user, normalize the motion data to generate motion normal data, normalize the biometric data to generate normal biometric data, digital idol information, the motion normal data, and the normal biometric data Generates a character motion sequence through , generates character shading data through the digital idol information, the motion normal data, and the bionormal data, and performs character graphic processing through the character motion sequence and the character shading data in the real world generating metaverse data that implements a digital idol of a metaverse synchronized with the user of information, background information, and character setting information are generated, and the character motion information includes heart rate information of a digital idol;
The digital idol's lung volume change amount, posture change amount, body shape change amount, and sweat amount are derived according to the heart rate by the artificial intelligence module, and the digital idol's lung volume change amount, posture change amount, and shape change amount of each body part generates a character motion sequence by compensating based on the character motion information, the background information, and the character setting information, generates a pre-clothing motion sequence using the character motion sequence, and generates the character based on the sweat calculates the friction force between the body and the clothing of , and corrects the pre-clothing motion sequence based on the friction force to generate a clothing motion sequence, and the amount of change in lung volume is the amount of time-series change with respect to the size of the character's lungs means, the amount of change in the posture means the amount of time-series change of a plurality of points expressing the movement of the character, and the amount of change in the shape includes the amount of change in the chest shape of the character and the amount of change in the abdominal shape,
When the heart rate is higher than a predetermined reference value, the chest shape change amount is set to be greater than the abdominal shape change amount, and when the heart rate is lower than the predetermined reference value, the chest shape change amount is set smaller than the abdominal shape change amount, and the artificial The intelligence module is trained by an artificial intelligence training module, and the artificial intelligence training module groups a plurality of pre-scanned 3D meshes into any one of the parameters included in the character setting information, and the grouped using a pre-stored template mesh. Align a plurality of 3D meshes, derive the average value of the lung volume change amount, the posture change amount, and the shape change amount of each body part of the aligned plurality of 3D meshes, and train the AI module using the derived average value, and the The character motion information includes at least one of a posture, fatigue, and emotion of the character, and a heart rate of the character, and the background information includes at least one of a background temperature, humidity, and time zone,
The character setting information is an artificial intelligence-based platform providing method for implementing a metaverse digital idol including at least one of gender, age, body type, and size of the character.</t>
  </si>
  <si>
    <t>KR20040027291 A | KR20040062638 A | KR102322953 B1 | KR20200010146 A | KR20210061167 A | KR20210157740 A</t>
  </si>
  <si>
    <t>2022-09-08</t>
  </si>
  <si>
    <t>The present disclosure relates to an artificial intelligence-based asset management server for virtual objects in metaverse which calculates virtual value information on virtual assets of virtual objects in metaverse using a value calculation model and based on this calculates virtual value information for virtual objects in metaverse. You can manage assets for virtual objects and broker sales.</t>
  </si>
  <si>
    <t>Asset management server, method and program for virtual objects in metaverse based on artificial intelligence</t>
  </si>
  <si>
    <t>KR20220058332A</t>
  </si>
  <si>
    <t>a communication unit that receives an image obtained for the real world and provides an image of a metaverse generated as a digital twin for the real world to a user's virtual reality device;an object recognition unit recognizing at least one real object in the received real world image and loading real world information of the recognized real object;a rendering unit generating a virtual object based on the real object recognition result and real world information loaded on the recognized real object to render the metaverse image;a storage unit storing a value calculation model for calculating virtual value information to be applied to the metaverse based on the real value information on at least one real object in the real world and the real value information on the real object; and a processor for calculating virtual value information on a virtual asset of the virtual object by using the value calculation model, wherein the processor receives the real value information of each of the real objects at preset times and, calculates a first market price trend with respect to the real value for each of the real objects, calculates a second price trend for the virtual value information of a virtual asset for each of the virtual objects, comparing the calculated first market price trend with the second market price trend, inputting the comparison result into the value calculation model to update virtual value information on the virtual asset, and updating the first market price trend and the second price trend When the difference value of the market price trend exceeds a preset threshold, a preset correction coefficient is applied to calculate virtual value information on the virtual asset of the virtual object to make up for the difference, By comparing the first market price trend and the second market price trend, a market price trend in which the market price changes preemptively is selected from the first market price trend or the second market price trend, and the selected preemptive market price trend is selected at every preset time. An asset management server for virtual objects in the metaverse based on artificial intelligence, characterized in that it calculates the expected value of the remaining market price trend based on it.</t>
  </si>
  <si>
    <t>a communication unit that receives an image obtained for the real world and provides an image of a metaverse generated as a digital twin for the real world to a user's virtual reality device;an object recognition unit recognizing at least one real object in the received real world image and loading real world information of the recognized real object;a rendering unit generating a virtual object based on the real object recognition result and real world information loaded on the recognized real object to render the metaverse image;a storage unit storing a value calculation model for calculating virtual value information to be applied to the metaverse based on the real value information on at least one real object in the real world and the real value information on the real object; and a processor for calculating virtual value information on a virtual asset of the virtual object by using the value calculation model, wherein the processor receives the real value information of each of the real objects at preset times and, calculates a first market price trend with respect to the real value for each of the real objects, calculates a second price trend for the virtual value information of a virtual asset for each of the virtual objects, comparing the calculated first market price trend with the second market price trend, inputting the comparison result into the value calculation model to update virtual value information on the virtual asset, and updating the first market price trend and the second price trend When the difference value of the market price trend exceeds a preset threshold, a preset correction coefficient is applied to calculate virtual value information on the virtual asset of the virtual object to make up for the difference, By comparing the first market price trend and the second market price trend, a market price trend in which the market price changes preemptively is selected from the first market price trend or the second market price trend, and the selected preemptive market price trend is selected at every preset time. An asset management server for virtual objects in the metaverse based on artificial intelligence, characterized in that it calculates the expected value of the remaining market price trend based on it.
The method of claim 1, wherein the value calculation model comprises: real value information of the real object, floating population information within a preset distance from the real object in the real world, and avatars within a preset distance from the virtual object in the metaverse. An asset for a virtual object in the metaverse based on artificial intelligence, characterized in that the virtual value information is calculated based on at least one of flow information and average user information for each time zone for the region to which the virtual object belongs in the metaverse management server.
3. The metaverse of claim 2, wherein the processor checks the flow information of the avatar within a preset distance from the virtual object in the metaverse and average user information for each time zone in the metaverse of the zone to which the virtual object belongs at preset times. to calculate a first change amount, and recalculate virtual value information on the virtual asset of the virtual object based on the first change amount and a second change amount for the demand of the virtual object in the metaverse every preset time. An asset management server for virtual objects in the metaverse based on artificial intelligence, characterized in that.
The method of claim 1, wherein the processor includes at least one of a display location and a display unit price of the instance in the metaverse based on request information on the instance when registration of an instance in the metaverse is requested. artificial intelligence-based metaverse, characterized in that the instance contract information is generated, and when the contract for the generated instance contract information is completed, the instance requested to be registered is displayed in the metaverse according to the instance contract information. Asset Management Server for My Virtual Objects.
5. The method of claim 4, wherein the processor is configured to correspond to the reality information in the metaverse based on the current status of the real information being displayed using the real object in the real world.first instance displayable positionis derived and stored in the storage unit, and the value of the real information in the real world is input to the value calculation model to calculate the first instance display unit price and store the value in the storage unit, based on artificial intelligence Asset management server for virtual objects within the metaverse of.
The method of claim 5, wherein the processor is, based on the virtual object arrangement information in the metaverse and the flow information of avatars in the metaverse, the real information is not displayed in the real world, but an instance is displayed in the metaverse An asset management server for a virtual object in the metaverse based on artificial intelligence, characterized in that the at least one second instance displayable position determined to be possible is derived and stored in the storage unit.
5. The method of claim 4, wherein the processor is further configured to, when the specific avatar in the metaverse looks at the specific instance displayed in the metaverse for more than a preset time, the specific instance is maintained in the gaze of the avatar. An asset management server for virtual objects in the metaverse based on artificial intelligence, characterized in that the rendering is performed so that the specific instance in the metaverse image being provided to the user's virtual reality device is rotated.
delete
A method performed by an asset management server, the method comprising: receiving an image acquired for the real world;an object recognition step of recognizing at least one real object in the received real-world image, and loading real-world information of the recognized real object;rendering a metaverse image by generating a virtual object based on the real object recognition result and real world information loaded on the recognized real object;providing an image of the metaverse generated as a digital twin for the real world to a user's virtual reality device; and calculating virtual value information on a virtual asset of the virtual object by using a value calculation model, wherein the asset management server includes real value information on at least one real object in the real world., a storage unit storing a value calculation model for calculating virtual value information to be applied to the metaverse based on the real value information on the real object, and receiving the real value information of each of the real objects at preset times and calculating a first market price trend with respect to the real value of each of the real objects, calculating a second market price trend with respect to the virtual value information of a virtual asset for each of the virtual objects, and the same real object and virtual object compares the calculated first market price trend with the second market price trend, and updates the virtual value information on the virtual asset by inputting the comparison result into the value calculation model; When the difference value between the first market price trend and the second market price trend exceeds a preset threshold, a preset correction factor is applied to calculate virtual value information on the virtual asset of the virtual object to make up for the difference. and comparing the first market price trend with the second market price trend to select a market price trend in which the market price changes preemptively from among the first market price trend or the second market price trend, and the selected preemptive market price at every preset time An asset management method for a virtual object in an artificial intelligence-based metaverse, characterized in that the estimated value of the remaining price trend is calculated based on the trend.
A computer-readable recording medium in which a program for executing the method of claim 9 is stored in combination with a computer as hardware.</t>
  </si>
  <si>
    <t>G06Q0030020000</t>
  </si>
  <si>
    <t>G06Q03002000</t>
  </si>
  <si>
    <t>G06Q03002000 | G06N02000000 | G06Q03006000 | G06T01340000 | G06T01500000 | G06T01900000</t>
  </si>
  <si>
    <t>KR102442347B1</t>
  </si>
  <si>
    <t>KR102442347 B1</t>
  </si>
  <si>
    <t>I-000230097675</t>
  </si>
  <si>
    <t>https://patentscout.innography.com/share/kYfvlVvqxq5CpeqWh_M4vA%3D%3D</t>
  </si>
  <si>
    <t>2022-08-30-DECISION TO GRANT OR REGISTRATION OF PATENT RIGHT|2022-09-06-DIVISIONAL APPLICATION OF PATENT|2022-09-06-WRITTEN DECISION TO GRANT</t>
  </si>
  <si>
    <t>https://patentscout.innography.com/share/kYfvlVvqxq5CpeqWh_M4vA%3D%3D/download</t>
  </si>
  <si>
    <t>https://v3.espacenet.com/publicationDetails/biblio?CC=KR&amp;NR=102442347B1&amp;KC=B1&amp;FT=D&amp;date=20220908&amp;DB=EPODOC&amp;locale=</t>
  </si>
  <si>
    <t>KR20102442347 B1</t>
  </si>
  <si>
    <t>1.  a communication unit that receives an image obtained for the real world and provides an image of a metaverse generated as a digital twin for the real world to a user's virtual reality device;an object recognition unit recognizing at least one real object in the received real world image and loading real world information of the recognized real object;a rendering unit generating a virtual object based on the real object recognition result and real world information loaded on the recognized real object to render the metaverse image;a storage unit storing a value calculation model for calculating virtual value information to be applied to the metaverse based on the real value information on at least one real object in the real world and the real value information on the real object; and a processor for calculating virtual value information on a virtual asset of the virtual object by using the value calculation model, wherein the processor receives the real value information of each of the real objects at preset times and, calculates a first market price trend with respect to the real value for each of the real objects, calculates a second price trend for the virtual value information of a virtual asset for each of the virtual objects, comparing the calculated first market price trend with the second market price trend, inputting the comparison result into the value calculation model to update virtual value information on the virtual asset, and updating the first market price trend and the second price trend When the difference value of the market price trend exceeds a preset threshold, a preset correction coefficient is applied to calculate virtual value information on the virtual asset of the virtual object to make up for the difference, By comparing the first market price trend and the second market price trend, a market price trend in which the market price changes preemptively is selected from the first market price trend or the second market price trend, and the selected preemptive market price trend is selected at every preset time. An asset management server for virtual objects in the metaverse based on artificial intelligence, characterized in that it calculates the expected value of the remaining market price trend based on it.</t>
  </si>
  <si>
    <t>9.  A method performed by an asset management server, the method comprising: receiving an image acquired for the real world;an object recognition step of recognizing at least one real object in the received real-world image, and loading real-world information of the recognized real object;rendering a metaverse image by generating a virtual object based on the real object recognition result and real world information loaded on the recognized real object;providing an image of the metaverse generated as a digital twin for the real world to a user's virtual reality device; and calculating virtual value information on a virtual asset of the virtual object by using a value calculation model, wherein the asset management server includes real value information on at least one real object in the real world., a storage unit storing a value calculation model for calculating virtual value information to be applied to the metaverse based on the real value information on the real object, and receiving the real value information of each of the real objects at preset times and calculating a first market price trend with respect to the real value of each of the real objects, calculating a second market price trend with respect to the virtual value information of a virtual asset for each of the virtual objects, and the same real object and virtual object compares the calculated first market price trend with the second market price trend, and updates the virtual value information on the virtual asset by inputting the comparison result into the value calculation model; When the difference value between the first market price trend and the second market price trend exceeds a preset threshold, a preset correction factor is applied to calculate virtual value information on the virtual asset of the virtual object to make up for the difference. and comparing the first market price trend with the second market price trend to select a market price trend in which the market price changes preemptively from among the first market price trend or the second market price trend, and the selected preemptive market price at every preset time An asset management method for a virtual object in an artificial intelligence-based metaverse, characterized in that the estimated value of the remaining price trend is calculated based on the trend.</t>
  </si>
  <si>
    <t>JP2001283024 A | KR102217262 B1 | KR20130082676 A</t>
  </si>
  <si>
    <t>2022-10-25</t>
  </si>
  <si>
    <t>2022-01-04</t>
  </si>
  <si>
    <t>2042-01-04</t>
  </si>
  <si>
    <t>The present invention relates to a metaverse-based shopping mall system and more particularly to a metaverse-based shopping mall system that provides various functions by building 3D avatars online.</t>
  </si>
  <si>
    <t>Metaverse-based shopping mall system and its construction method</t>
  </si>
  <si>
    <t>shopping mall system|shopping mall|shopping|mall</t>
  </si>
  <si>
    <t>Cip System Co., Ltd.</t>
  </si>
  <si>
    <t>KR20220000640A</t>
  </si>
  <si>
    <t>a metaverse environment module 11 that implements a metaverse shopping mall in 3D in a metaverse environment;In the metaverse shopping mall in the metaverse environment, a 3D visualization module 12 for three-dimensionalizing each of the offline products through 3D and visualizing them like real products; Including, the 3D visualization module 12, including; a 3D visualization discrimination module 13 that can change the shape or size, and visualizes the appearance to be distinguished from each other by changing the illuminance or luminance of a color in the case of a similar product If you want to see detailed information of a product visualized through the display device, when you touch the product on the display device, the product detailed image is provided as a live commerce image to provide product description, and mutually answer questions through chat A metaverse-based shopping mall system, characterized in that</t>
  </si>
  <si>
    <t>1 that implements a metaverse shopping mall in 3D in a metaverse environment;In the metaverse shopping mall in the metaverse environment, a 3D visualization module 12 for three-dimensionalizing each of the offline products through 3D and visualizing them like real products; Including, the 3D visualization module 12, including; a 3D visualization discrimination module 13 that can change the shape or size, and visualizes the appearance to be distinguished from each other by changing the illuminance or luminance of a color in the case of a similar product If you want to see detailed information of a product visualized through the display device, when you touch the product on the display device, the product detailed image is provided as a live commerce image to provide product description, and mutually answer questions through chat A metaverse-based shopping mall system, characterized in that
delete
The metaverse-based shopping mall system according to claim 1, wherein the live commerce video is a regular live broadcast broadcast through a specific date with a set date.
The method according to claim 1, wherein an avatar manager (second user) is arranged for each customer (first user) in the metaverse environment, and TTS (Text To Speech), you can respond to product recommendations, product descriptions, and inquiries from the avatar manager, or make real-time product inquiries, purchase inquiries, and delivery inquiries through chatting with the avatar manager. A metaverse-based shopping mall system, characterized in that it is possible to respond and answer by voice through TTS.
The method according to claim 4, wherein the manager in charge of the avatar converts the chatting question into TTS (Text To Speech) through the chatbot, and provides the answer to the customer through the avatar's mouth movement and voice in real time. an experience providing module that provides an experience performed by the person's side;and a service fee module that provides a function to donate a service fee to the manager in charge of the avatar when the customer is impressed.
The method according to claim 1, wherein when the 3D product visualized through the 3D visualization module (12) is taken out and put in the shopping cart, it is implemented as a shopping cart function of online shopping, and payment can be made immediately by activating the payment function when accessing the checkout counter of the metaverse shopping mall. It is characterized by including a function to notify the user, a direct payment function to view the product and add it to the shopping cart or to pay directly at the store, and an offline delivery function to deliver the 3D product directly through offline delivery. Metaverse-based shopping mall system.
implementing the metaverse shopping mall in 3D in the metaverse environment by the metaverse environment module;Visualizing, by a 3D visualization module, three-dimensional offline products through 3D in the metaverse shopping mall in the metaverse environment like real products;Even if the product of the same category visualized by the 3D visualization module by the 3D visualization module is a hit product, the shape or size can be changed, and in the case of a similar product, the appearance can be distinguished from each other by changing the illuminance or luminance of the color. Visualizing to do;When the 3D product visualized through the 3D visualization module is taken out and put in a shopping cart, implementing it as a shopping cart function of online shopping;notifying a payment function to be activated when accessing the checkout counter of the metaverse shopping mall so that payment can be made immediately;checking the products of the metaverse shopping mall through a display device, and directly placing them in a shopping cart at the store or making direct payment;The method of constructing a metaverse-based shopping mall system, comprising: an offline delivery step of directly delivering the 3D product of the metaverse shopping mall through offline delivery.
delete</t>
  </si>
  <si>
    <t>Lee, Yo Hoon</t>
  </si>
  <si>
    <t>G06Q0030060000</t>
  </si>
  <si>
    <t>G06Q03006000 | G06Q05010000 | G06Q05022000 | G06Q05030000 | G06T01340000 | G06T01900000 | G06T01920000 | G10L01526000 | H04L05102000 | H04N02121870 | H04N02147800</t>
  </si>
  <si>
    <t>KR102458098B1</t>
  </si>
  <si>
    <t>KR102458098 B1</t>
  </si>
  <si>
    <t>I-000231723886</t>
  </si>
  <si>
    <t>20 years from 2022-01-04 (file date)</t>
  </si>
  <si>
    <t>https://patentscout.innography.com/share/xHJvMFbZj8nCU1HW-RsGkw%3D%3D</t>
  </si>
  <si>
    <t>2022-09-08-DECISION TO GRANT OR REGISTRATION OF PATENT RIGHT|2022-10-19-WRITTEN DECISION TO GRANT</t>
  </si>
  <si>
    <t>https://patentscout.innography.com/share/xHJvMFbZj8nCU1HW-RsGkw%3D%3D/download</t>
  </si>
  <si>
    <t>https://v3.espacenet.com/publicationDetails/biblio?CC=KR&amp;NR=102458098B1&amp;KC=B1&amp;FT=D&amp;date=20221025&amp;DB=EPODOC&amp;locale=</t>
  </si>
  <si>
    <t>KR20102458098 B1</t>
  </si>
  <si>
    <t>1.  a metaverse environment module 11 that implements a metaverse shopping mall in 3D in a metaverse environment;In the metaverse shopping mall in the metaverse environment, a 3D visualization module 12 for three-dimensionalizing each of the offline products through 3D and visualizing them like real products; Including, the 3D visualization module 12 , including; a 3D visualization discrimination module 13 that can change the shape or size, and visualizes the appearance to be distinguished from each other by changing the illuminance or luminance of a color in the case of a similar product If you want to see detailed information of a product visualized through the display device, when you touch the product on the display device, the product detailed image is provided as a live commerce image to provide product description, and mutually answer questions through chat A metaverse-based shopping mall system, characterized in that</t>
  </si>
  <si>
    <t>7.  implementing the metaverse shopping mall in 3D in the metaverse environment by the metaverse environment module;Visualizing, by a 3D visualization module, three-dimensional offline products through 3D in the metaverse shopping mall in the metaverse environment like real products;Even if the product of the same category visualized by the 3D visualization module by the 3D visualization module is a hit product, the shape or size can be changed, and in the case of a similar product, the appearance can be distinguished from each other by changing the illuminance or luminance of the color. Visualizing to do;When the 3D product visualized through the 3D visualization module is taken out and put in a shopping cart, implementing it as a shopping cart function of online shopping;notifying a payment function to be activated when accessing the checkout counter of the metaverse shopping mall so that payment can be made immediately;checking the products of the metaverse shopping mall through a display device, and directly placing them in a shopping cart at the store or making direct payment;The method of constructing a metaverse-based shopping mall system, comprising: an offline delivery step of directly delivering the 3D product of the metaverse shopping mall through offline delivery.</t>
  </si>
  <si>
    <t>US6810418 B1 | US6954728 B1 | US7249139 B2 | US7797168 B2 | US7996264 B2 | US20040243664 A1 | US20050182729 A1 | US20050216346 A1 | US20060161788 A1 | US20080014917 A1 | US20080220876 A1 | US20080282090 A1 | US20090030774 A1 | US20090063283 A1 | US20090157495 A1 | US20090157625 A1 | US20090228550 A1 | US20090234948 A1 | US20090235191 A1 | US20100293569 A1 | US20110107433 A1 | US20110126272 A1 | JP2005050081 A | JP2005234633 A</t>
  </si>
  <si>
    <t>US10055880 B2 | US10099140 B2 | US10118099 B2 | US10137376 B2 | US10179289 B2 | US10213682 B2 | US10226701 B2 | US10226703 B2 | US10232272 B2 | US10245509 B2 | US10284454 B2 | US10286314 B2 | US10286326 B2 | US10300390 B2 | US10315113 B2 | US10322351 B2 | US10376781 B2 | US10376792 B2 | US10376793 B2 | US10421019 B2 | US10463964 B2 | US10463971 B2 | US10471348 B2 | US10486068 B2 | US10500498 B2 | US10537809 B2 | US10561945 B2 | US10573065 B2 | US10586380 B2 | US10596471 B2 | US10627983 B2 | US10650539 B2 | US10668367 B2 | US10668381 B2 | US10694352 B2 | US10702779 B2 | US10709981 B2 | US10765948 B2 | US10807003 B2 | US10818060 B2 | US10835818 B2 | US10857468 B2 | US10861079 B2 | US10864443 B2 | US10898813 B2 | US10905963 B2 | US10974150 B2 | US10981051 B2 | US10981069 B2 | US10987588 B2 | US10991110 B2 | US11040286 B2 | US11097193 B2 | US11115712 B2 | US11117055 B2 | US11148063 B2 | US11185784 B2 | US11189084 B2 | US11192028 B2 | US11207596 B2 | US11213753 B2 | US11224807 B2 | US11263670 B2 | US11278813 B2 | US11305191 B2 | US11310346 B2 | US11344808 B2 | US11351459 B2 | US11351466 B2 | US11413536 B2 | US11420119 B2 | US11420122 B2 | US11423556 B2 | US11423605 B2 | US11439904 B2 | US11439909 B2 | US11446582 B2 | US11524234 B2 | US11524237 B2 | US11537209 B2 | US20120167232 A1 | US9135429 B2</t>
  </si>
  <si>
    <t>2009-09-10</t>
  </si>
  <si>
    <t>2012-07-24</t>
  </si>
  <si>
    <t>2008-03-07</t>
  </si>
  <si>
    <t>2009-03-06</t>
  </si>
  <si>
    <t>2020-08-31</t>
  </si>
  <si>
    <t>A server computer connected to a plurality of client computers through a network and controls objects in a Metaverse accessed by the client computers. The server computer includes: a storage unit for storing an object ID specifying a Metaverse object and authenticity information; a communication unit for communicating with each of the client computers; and an enquiry unit for causing the communication unit to transmit the authenticity information of the object ID to the communication unit. A method of controlling objects in a Metaverse accessed by client computers is also provided.</t>
  </si>
  <si>
    <t>System, method, and computer program for determining whether object is genuine or fake in metaverse</t>
  </si>
  <si>
    <t>Activision Publishing, Inc.</t>
  </si>
  <si>
    <t>Microsoft Corporation</t>
  </si>
  <si>
    <t>Activision Publishing, Inc</t>
  </si>
  <si>
    <t>US12/399349</t>
  </si>
  <si>
    <t>JERRY DENNISON</t>
  </si>
  <si>
    <t xml:space="preserve">A server computer which is connected to a plurality of client computers through a network, and which controls objects in a Metaverse accessed by the client computers, the server computer comprising:
a storage device for storing, as object information for a certain Metaverse object, an object ID specifying the object and, in association with the object ID, authenticity information indicating that the object is genuine, wherein the object includes an accessory for an avatar in the Metaverse, and the object information includes (i) time period information indicating an expiration time of the authenticity information, and (ii) history information indicating a history of at least any one of creation, copying, modification and giving of the object;
a communication unit for communicating with each of the client computers to access the Metaverse; and
an enquiry unit for, upon receipt of an enquiry request including an object ID to enquire about the object of the object ID from a certain client computer:
(i) causing the communication unit to transmit authenticity information corresponding to the object ID to the client computer, on condition that the authenticity information corresponding to the object ID is stored in the storage device and is still valid since its expiration time has not come yet,
(ii) causing the communication unit to transmit a notification that authenticity information corresponding to the object ID is not stored in the storage device to the client computer, on condition that the authenticity information corresponding to the object ID is not stored in the storage device, and
(iii) identifying an original user of the object according to the history information, thereby causing the communication unit to transmit another notification that the authenticity information corresponding to the object ID is not stored, to a client computer of the original user,
wherein the authenticity information includes manager information specifying a manager of the brand of the accessory object in the Metaverse, a brand name indicating the name of the brand, and logo data indicating the logo of the brand.
</t>
  </si>
  <si>
    <t>1. A server computer which is connected to a plurality of client computers through a network, and which controls objects in a Metaverse accessed by the client computers, the server computer comprising:
a storage device for storing, as object information for a certain Metaverse object, an object ID specifying the object and, in association with the object ID, authenticity information indicating that the object is genuine, wherein the object includes an accessory for an avatar in the Metaverse, and the object information includes (i) time period information indicating an expiration time of the authenticity information, and (ii) history information indicating a history of at least any one of creation, copying, modification and giving of the object;
a communication unit for communicating with each of the client computers to access the Metaverse; and
an enquiry unit for, upon receipt of an enquiry request including an object ID to enquire about the object of the object ID from a certain client computer:
(i) causing the communication unit to transmit authenticity information corresponding to the object ID to the client computer, on condition that the authenticity information corresponding to the object ID is stored in the storage device and is still valid since its expiration time has not come yet,
(ii) causing the communication unit to transmit a notification that authenticity information corresponding to the object ID is not stored in the storage device to the client computer, on condition that the authenticity information corresponding to the object ID is not stored in the storage device, and
(iii) identifying an original user of the object according to the history information, thereby causing the communication unit to transmit another notification that the authenticity information corresponding to the object ID is not stored, to a client computer of the original user,
wherein the authenticity information includes manager information specifying a manager of the brand of the accessory object in the Metaverse, a brand name indicating the name of the brand, and logo data indicating the logo of the brand.
2. The server computer according to claim 1, wherein:
first and second users access the Metaverse, as first and second avatars, through first and second client computers, respectively;
the object is owned by the first avatar; and
the enquiry unit receives the enquiry request in response to an enquiry made by the second avatar for the object in the Metaverse, and causes the communication unit to transmit authenticity information corresponding to the object ID to the second client computer, on condition that the authenticity information corresponding to the object ID is stored in the storage device.
3. The server computer according to claim 2, wherein the authenticity information is transmitted in a form recognizable by the second user in the Metaverse.
4. The server computer according to claim 1, wherein:
the enquiry unit includes means, responsive to receipt of an enquiry request including an object ID to enquire about the accessory object of the object ID from a certain client computer, to cause the communication unit to transmit to the client computer at least one of the manager information, the brand name and the logo data corresponding to the object ID, on condition that the authenticity information corresponding to the object ID is stored in the storage device.
5. The server computer according to claim 1, wherein:
said accessory is an employee badge object of an avatar in the Metaverse;
the authenticity information further includes owner information specifying an owner of the employee badge object, a company name indicating the name of the company, and logo data indicating the logo of the company; and
the enquiry unit includes means responsive to receipt of an enquiry request for the employee badge object including a corresponding object ID from a certain client computer, to cause the communication unit to transmit to the client computer at least one of the owner information, the company name and the logo data corresponding to the object ID, on condition that the authenticity information corresponding to the object ID is stored in the storage device.
6. The server computer according to claim 1, wherein the accessory is a ticket having the expiration time in the Metaverse.
7. The server computer according to claim 1, wherein the object information separately includes owner information specifying the owner of the object and manager information specifying the manager of the object.
8. The server computer according to claim 1, further comprising an update unit which copies an object upon receipt of a copying request including an object ID to copy the object of the object ID from a certain client computer, and which does not store authenticity information of the copied object in the storage device.
9. The server computer according to claim 1, further comprising an update unit which modifies an object upon receipt of a modification request including an object ID to modify the object of the object ID from a certain client computer, and which does not store authenticity information of the modified object in the storage device.
10. The server computer according to claim 1, further comprising an update unit which creates an object upon receipt of a new object creation request from a certain client computer, and which does not store authenticity information of the created object in the storage device.
11. The server computer according to claim 1, wherein:
the object information further includes owner information specifying the owner of the object; and
the server computer further comprises an update unit which changes the owner information from a first user to a second user, upon receipt of a giving request including an object ID to give the object of the object ID from the first user to the second user, and which does not change the authenticity information.
12. The server computer according to claim 11, wherein the object is given from a first avatar to a second avatar in the Metaverse which the first and second users log in as the first and second avatars through the first and second client computers, respectively.
13. The server computer according to claim 1, wherein:
the server computer further comprises: a registration unit for, upon receipt of a brand registration request to register a certain user as a manager of a brand from a certain client computer, registering the user as the manager of the brand and the brand name as the name of the brand in the storage device, on condition that the same brand name is not already registered with another user assigned as the manager.
14. The server computer according to claim 13, wherein, upon receipt of an accessory object registration request to register a certain accessory object as a genuine object from a certain client computer, the registration unit registers a corresponding object ID and authenticity information in association with each other as object information in the storage device, on condition that the user of the client computer is registered as the manager of the brand.
15. The server computer according to claim 1, wherein:
the accessory is an employee badge object of an avatar in the Metaverse, and
the authenticity information further includes owner information specifying an owner of the employee badge object and a company name indicating the name of the company, and
the server computer further comprises: a registration unit for, upon receipt of an employee badge registration request to register a certain user as an owner of a certain employee badge object from a certain client computer, registering in authenticity information the user as the owner of the employee badge object and the company name as the name of the company, on condition that the same company name is not already registered with another user assigned as the owner.
16. The server computer according to claim 15, wherein, upon receipt of an employee badge object registration request to register a certain employee badge object as a genuine object from a certain client computer, the registration unit registers a corresponding object ID and authenticity information in association with each other as object information, on condition that the user of the client computer is registered as the owner of the employee badge object.
17. A method applied to a server computer which is connected to a plurality of client computers through a network, and which controls objects in a Metaverse accessed by the client computers, the method comprising the steps of:
storing, as object information for a certain Metaverse object, an object ID specifying the object and authenticity information, associated with the object ID, indicating that the object is genuine, wherein the object includes (i) an accessory for an avatar in the Metaverse, and the object information includes time period information indicating an expiration time of the authenticity information, and (ii) history information indicating a history of at least any one of creation, copying, modification and giving of the object;
receiving an enquiry request including an object ID to enquire about the object of the object ID from a certain client computer having access to the Metaverse; and
transmitting authenticity information corresponding to the object ID to the client computer on condition that the authenticity information corresponding to the object ID is stored and is still valid since its expiration time has not come yet;
transmitting a notification that authenticity information corresponding to the object ID is not stored, on condition that the authenticity information corresponding to the object ID is not stored; and
identifying an original user of the object according to the history information, and thereafter transmitting another notification that the authenticity information corresponding to the object ID is not stored,
wherein the authenticity information includes manager information specifying a manager of the brand of the accessory object in the Metaverse, a brand name indicating the name of the brand, and logo data indicating the logo of the brand.
18. A non-transitory computer storage medium tangibly embodying computer-executable program instructions which, when executed by a server computer connected to a plurality of client computers through a network, and which controls objects in a Metaverse accessed by the client computers, causes the server computer to execute the steps of:
storing, as object information for a certain Metaverse object, an object ID specifying the object and authenticity information associated with the object ID indicating that the object is genuine, wherein the object includes (i) an accessory for an avatar in the Metaverse, and the object information includes time period information indicating an expiration time of the authenticity information, and (ii) information indicating a history of at least any one of creation, copying, modification and giving of the object;
receiving an enquiry request including an object ID to enquire about the object of the object ID from a certain client computer having access to the Metaverse; and
transmitting authenticity information corresponding to the object ID to the client computer on condition that the authenticity information corresponding to the object ID is stored and is still valid since its expiration time has not come yet;
transmitting a notification that authenticity information corresponding to the object ID is not stored, on condition that the authenticity information corresponding to the object ID is not stored; and
identifying an original user of the object according to the history information, and thereafter transmitting another notification that the authenticity information corresponding to the object ID is not stored,
wherein the authenticity information includes manager information specifying a manager of the brand of the accessory object in the Metaverse, a brand name indicating the name of the brand, and logo data indicating the logo of the brand.</t>
  </si>
  <si>
    <t>Kawachiya, Kiyokuni|Tatsubori, Michiaki</t>
  </si>
  <si>
    <t>US20090228550 A1</t>
  </si>
  <si>
    <t>A63F0013120000 | A63F0013750000 | A63F2300558600 | A63F2300575000 | G06F0021640000 | G06N0003006000 | A63F0013710000 | A63F0013790000</t>
  </si>
  <si>
    <t>G06F01516000 | G06F02160000 | G06F02162000 | G06Q03006000 | G06Q05000000 | G06T00100000</t>
  </si>
  <si>
    <t>70th-80th Percentile</t>
  </si>
  <si>
    <t>US20090228550A1|JP2009217387A|US8230045B2|US20120266256A1|JP5159375B2|US9808722B2|US20180104595A1|US10981069B2|US20210268389A1</t>
  </si>
  <si>
    <t>US13/533359</t>
  </si>
  <si>
    <t>$16861</t>
  </si>
  <si>
    <t>US20090228550 A1 | JP2009217387 A | US8230045 B2 | US20120266256 A1 | JP5159375 B2 | US9808722 B2 | US20180104595 A1 | US10981069 B2 | US20210268389 A1</t>
  </si>
  <si>
    <t>I-000083324690</t>
  </si>
  <si>
    <t>https://patentscout.innography.com/share/U9XEw0y9DwsL9w0akxmB3Q%3D%3D</t>
  </si>
  <si>
    <t>2009-03-18-ASSIGNMENT (INTERNATIONAL BUSINESS MACHINES CORPORATION)|2012-07-04-INFORMATION ON STATUS: PATENT GRANT|2012-12-31-ASSIGNMENT (ACTIVISION PUBLISHING, INC.)|2014-01-31-ASSIGNMENT (BANK OF AMERICA, N.A.)|2016-01-25-FEE PAYMENT|2016-10-14-ASSIGNMENT (ACTIVISION BLIZZARD INC.;ACTIVISION PUBLISHING, INC.;ACTIVISION ENTERTAINMENT HOLDINGS, INC.;BLIZZARD ENTERTAINMENT, INC.)|2020-03-16-FEE PAYMENT PROCEDURE|2020-08-31-LAPSE FOR FAILURE TO PAY MAINTENANCE FEES|2020-08-31-INFORMATION ON STATUS: PATENT DISCONTINUATION|2020-09-22-EXPIRED DUE TO FAILURE TO PAY MAINTENANCE FEE</t>
  </si>
  <si>
    <t>https://patentscout.innography.com/share/U9XEw0y9DwsL9w0akxmB3Q%3D%3D/download</t>
  </si>
  <si>
    <t>https://ppubs.uspto.gov/pubwebapp/external.html?q=8230045.pn.</t>
  </si>
  <si>
    <t>JP2009217387 A</t>
  </si>
  <si>
    <t>103 | US09/605362 | CTFR
103 | US09/605362 | CTNF
103 | US10/139064 | CTNF
103 | US10/858684 | CTFR
103 | US11/745227 | CTNF
103 | US11/756432 | CTFR
103 | US11/756432 | CTNF</t>
  </si>
  <si>
    <t>Intel Corporation
Intel Corporation
Accenture Plc
ELECTRONIC COMMUNICATION TECHNOLOGIES LLC
Unassigned
Digimarc Corporation
Digimarc Corporation</t>
  </si>
  <si>
    <t>2011-09-29</t>
  </si>
  <si>
    <t>2011-11-30</t>
  </si>
  <si>
    <t>Vazken Alexanian</t>
  </si>
  <si>
    <t>1. A server computer which is connected to a plurality of client computers through a network, and which controls objects in a Metaverse accessed by the client computers, the server computer comprising:
a storage device for storing, as object information for a certain Metaverse object, an object ID specifying the object and, in association with the object ID, authenticity information indicating that the object is genuine, wherein the object includes an accessory for an avatar in the Metaverse, and the object information includes (i) time period information indicating an expiration time of the authenticity information, and (ii) history information indicating a history of at least any one of creation, copying, modification and giving of the object;
a communication unit for communicating with each of the client computers to access the Metaverse; and
an enquiry unit for, upon receipt of an enquiry request including an object ID to enquire about the object of the object ID from a certain client computer:
(i) causing the communication unit to transmit authenticity information corresponding to the object ID to the client computer, on condition that the authenticity information corresponding to the object ID is stored in the storage device and is still valid since its expiration time has not come yet,
(ii) causing the communication unit to transmit a notification that authenticity information corresponding to the object ID is not stored in the storage device to the client computer, on condition that the authenticity information corresponding to the object ID is not stored in the storage device, and
(iii) identifying an original user of the object according to the history information, thereby causing the communication unit to transmit another notification that the authenticity information corresponding to the object ID is not stored, to a client computer of the original user,
wherein the authenticity information includes manager information specifying a manager of the brand of the accessory object in the Metaverse, a brand name indicating the name of the brand, and logo data indicating the logo of the brand.</t>
  </si>
  <si>
    <t>17. A method applied to a server computer which is connected to a plurality of client computers through a network, and which controls objects in a Metaverse accessed by the client computers, the method comprising the steps of:
storing, as object information for a certain Metaverse object, an object ID specifying the object and authenticity information, associated with the object ID, indicating that the object is genuine, wherein the object includes (i) an accessory for an avatar in the Metaverse, and the object information includes time period information indicating an expiration time of the authenticity information, and (ii) history information indicating a history of at least any one of creation, copying, modification and giving of the object;
receiving an enquiry request including an object ID to enquire about the object of the object ID from a certain client computer having access to the Metaverse; and
transmitting authenticity information corresponding to the object ID to the client computer on condition that the authenticity information corresponding to the object ID is stored and is still valid since its expiration time has not come yet;
transmitting a notification that authenticity information corresponding to the object ID is not stored, on condition that the authenticity information corresponding to the object ID is not stored; and
identifying an original user of the object according to the history information, and thereafter transmitting another notification that the authenticity information corresponding to the object ID is not stored,
wherein the authenticity information includes manager information specifying a manager of the brand of the accessory object in the Metaverse, a brand name indicating the name of the brand, and logo data indicating the logo of the brand.</t>
  </si>
  <si>
    <t>18. A non-transitory computer storage medium tangibly embodying computer-executable program instructions which, when executed by a server computer connected to a plurality of client computers through a network, and which controls objects in a Metaverse accessed by the client computers, causes the server computer to execute the steps of:
storing, as object information for a certain Metaverse object, an object ID specifying the object and authenticity information associated with the object ID indicating that the object is genuine, wherein the object includes (i) an accessory for an avatar in the Metaverse, and the object information includes time period information indicating an expiration time of the authenticity information, and (ii) information indicating a history of at least any one of creation, copying, modification and giving of the object;
receiving an enquiry request including an object ID to enquire about the object of the object ID from a certain client computer having access to the Metaverse; and
transmitting authenticity information corresponding to the object ID to the client computer on condition that the authenticity information corresponding to the object ID is stored and is still valid since its expiration time has not come yet;
transmitting a notification that authenticity information corresponding to the object ID is not stored, on condition that the authenticity information corresponding to the object ID is not stored; and
identifying an original user of the object according to the history information, and thereafter transmitting another notification that the authenticity information corresponding to the object ID is not stored,
wherein the authenticity information includes manager information specifying a manager of the brand of the accessory object in the Metaverse, a brand name indicating the name of the brand, and logo data indicating the logo of the brand.</t>
  </si>
  <si>
    <t>US20050164795 A1 | US20060135237 A1 | US20070207860 A1 | US6785708 B1</t>
  </si>
  <si>
    <t>WO2021143317 A1 | WO2022131602 A1</t>
  </si>
  <si>
    <t>2015-05-07</t>
  </si>
  <si>
    <t>2019-06-18</t>
  </si>
  <si>
    <t>2015-01-12</t>
  </si>
  <si>
    <t>A metaverse system includes a client computer coupled to a network a metaverse server coupled to the client computer the metaverse server to host a metaverse application and a group link engine coupled to the server. The engine opens a group link connection in response to a request from a user. A linked group associated with the connection includes at least two linked users and at least one of the linked users is designated as a leader and each of the at least two linked users is associated with an avatar different from the avatar associated with the other. The engine includes a group link controller to allow the leader to control an action of a second avatar of a second user. The action of the second avatar can be viewed separately from each avatar associated with the at least one linked users that are designated as the leader.</t>
  </si>
  <si>
    <t xml:space="preserve">A metaverse system comprising:
a client computer coupled to a network;
a metaverse server coupled to the client computer, the metaverse server to host a metaverse application;
a group link engine coupled to the metaverse server, the group link engine to open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wherein each of the at least two linked users is associated with a different avatar, the group link engine comprising:
a group link controller to allow the user designated as the leader to control an action of the avatar of the user not designated as leader, wherein the action of the avatar of the user not designated as leader can be viewed separately from the avatar associated with the at least one linked user designated as the leader.
</t>
  </si>
  <si>
    <t>1. A metaverse system comprising:
a client computer coupled to a network;
a metaverse server coupled to the client computer, the metaverse server to host a metaverse application;
a group link engine coupled to the metaverse server, the group link engine to open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wherein each of the at least two linked users is associated with a different avatar, the group link engine comprising:
a group link controller to allow the user designated as the leader to control an action of the avatar of the user not designated as leader, wherein the action of the avatar of the user not designated as leader can be viewed separately from the avatar associated with the at least one linked user designated as the leader.
2. The metaverse system of claim 1, the group link engine further comprising a group link configuration engine coupled to the group link controller, the group link configuration engine to send a group link invitation to the second user to join the linked group.
3. The metaverse system of claim 2, wherein the group link controller is further configured to control a group movement in response to an input command by the leader of the linked group, wherein the group movement comprises a delayed teleport, wherein a leader teleports to a new location apart from a remainder of the linked group, and after a predetermined delay, the remainder of the linked group is then teleported to the new location and wherein the group link controller stores a plurality of group movements on a storage device in response to a request from a user in a linked group to save the plurality of group movements.
4. The metaverse system of claim 3, wherein the group link configuration engine terminates the group link invitation in response to a user's rejection of the group link invitation.
5. The metaverse system of claim 4, the group link configuration engine is further configured to disconnect temporarily a linked user from the group link connection and reconnect the linked user, that temporarily disconnected from the group link connection, to the linked group.
6. The metaverse system of claim 1, the group link controller further configured to control a group movement in response to an input command by one of the users designated as the leader of the linked group, wherein the group movement comprises:
a cascaded group movement, wherein a user in the linked group is ranked in a predetermined order to allow a movement initiated by the one of the users designated as the leader to be performed by the avatar of the one of the users designated as the leader first, and then after a predetermined delay, the user performs that movement according to the rank of the user in the linked group;
a delayed teleport, wherein one of the users designated as the leader teleports to a new location apart from a remainder of the linked group, and after a predetermined delay, the remainder of the linked group is then teleported to the new location; or
a verified teleport, wherein one of the users designated as the leader teleports to a new location apart from the remainder of the linked group, and the remainder of the linked group teleports to the new location in response to a verification by the one of the users designated as the leader to travel to the new location.
7. The metaverse system of claim 6, wherein the group link controller stores a plurality of group movements on a storage device in response to a request from a user in a linked group to save the plurality of group movements.
8. The metaverse system of claim 1, wherein the group link controller allows the second user to decline the action that one of the users designated as the leader initiates to control the avatar of the second user.
9. A method comprising:
opening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and
controlling an action of a plurality of avatars of the linked group associated with the group link connection in response to an input command by one of the users designated as the leader of the linked group, wherein the action of each of the plurality of avatars can be viewed separately.
10. The method of claim 9, further comprising:
sending a group link invitation to another user to join the linked group;
linking the other user to the group link connection in response to the other user accepting the group link invitation to join the linked group; and
saving a group link connection profile.
11. The method of claim 9, further comprising:
disconnecting at least temporarily a linked user from the group link connection; and
reconnecting the linked user, that temporarily disconnected from the group link connection, to the linked group.
12. The method of claim 9, further comprising:
requesting a transfer of the designation of the user as the leader of the group link connection; and
transferring the designation of at least one of the users designated as the leader of the group link connection to another user of the group link connection.
13. An apparatus, comprising:
means for establishing a linked group of metaverse users, each metaverse user associated with an avatar of a metaverse application, wherein one of the metaverse users is designated as a leader of the linked group; and
means for controlling an action of all of the avatars of the linked group in response to an action of the avatar associated with the leader of the linked group of metaverse users, wherein the action of each avatar of the linked group can be viewed separately.</t>
  </si>
  <si>
    <t>Jones, Angela R.|Lyle, Ruthie D.|Mallempati, Vandana</t>
  </si>
  <si>
    <t>US10326667 B2</t>
  </si>
  <si>
    <t>H04L01224000</t>
  </si>
  <si>
    <t>H04L01224000 | H04L02906000</t>
  </si>
  <si>
    <t>I-000132852463</t>
  </si>
  <si>
    <t>Application expired due to grant (US10326667 B2)</t>
  </si>
  <si>
    <t>https://patentscout.innography.com/share/kjEDasm4tbesxptSgvPxJg%3D%3D</t>
  </si>
  <si>
    <t>2014-12-10-ASSIGNMENT (INTERNATIONAL BUSINESS MACHINES CORPORATION)|2019-02-04-INFORMATION ON STATUS: PATENT APPLICATION AND GRANTING PROCEDURE IN GENERAL|2019-05-29-INFORMATION ON STATUS: PATENT GRANT</t>
  </si>
  <si>
    <t>https://patentscout.innography.com/share/kjEDasm4tbesxptSgvPxJg%3D%3D/download</t>
  </si>
  <si>
    <t>https://ppubs.uspto.gov/pubwebapp/external.html?q=20150128062.pn.</t>
  </si>
  <si>
    <t>US20150128062 A1</t>
  </si>
  <si>
    <t>102 | US11/659970 | CTNF</t>
  </si>
  <si>
    <t>103 | US08/741470 | CTFR
103 | US11/082452 | CTFR
103 | US11/082452 | CTNF
103 | US11/313130 | CTNF
103 | US11/313130 | CTNF
103 | US11/313130 | CTFR
103 | US11/659970 | CTNF
103 | US11/659970 | CTFR
103 | US11/659970 | CTNF</t>
  </si>
  <si>
    <t>Panasonic Corporation</t>
  </si>
  <si>
    <t>Intellectual Ventures Management, LLC
Microsoft Corporation
Microsoft Corporation
Kabushikikaisah Koei
Kabushikikaisah Koei
Kabushikikaisah Koei
Panasonic Corporation
Panasonic Corporation
Panasonic Corporation</t>
  </si>
  <si>
    <t>2017-11-03</t>
  </si>
  <si>
    <t>2018-06-25</t>
  </si>
  <si>
    <t>Kunzler, PC</t>
  </si>
  <si>
    <t>Bruce R. Needham</t>
  </si>
  <si>
    <t>1. A metaverse system comprising:
a client computer coupled to a network;
a metaverse server coupled to the client computer, the metaverse server to host a metaverse application;
a group link engine coupled to the metaverse server, the group link engine to open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wherein each of the at least two linked users is associated with a different avatar, the group link engine comprising:
a group link controller to allow the user designated as the leader to control an action of the avatar of the user not designated as leader, wherein the action of the avatar of the user not designated as leader can be viewed separately from the avatar associated with the at least one linked user designated as the leader.</t>
  </si>
  <si>
    <t>9. A method comprising:
opening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and
controlling an action of a plurality of avatars of the linked group associated with the group link connection in response to an input command by one of the users designated as the leader of the linked group, wherein the action of each of the plurality of avatars can be viewed separately.</t>
  </si>
  <si>
    <t>13. An apparatus, comprising:
means for establishing a linked group of metaverse users, each metaverse user associated with an avatar of a metaverse application, wherein one of the metaverse users is designated as a leader of the linked group; and
means for controlling an action of all of the avatars of the linked group in response to an action of the avatar associated with the leader of the linked group of metaverse users, wherein the action of each avatar of the linked group can be viewed separately.</t>
  </si>
  <si>
    <t>CN1858757 A | EP0969430 A1 | JP2005050081 A | JP2005234633 A | US6119229 A | US6135646 A | US6810418 B1 | US6954728 B1 | US7249139 B2 | US7797168 B2 | US7996264 B2 | US20030014423 A1 | US20040030888 A1 | US20040243664 A1 | US20050182729 A1 | US20050216346 A1 | US20050216361 A1 | US20060161788 A1 | US20070050716 A1 | US20080014917 A1 | US20080220876 A1 | US20080282090 A1 | US20090030774 A1 | US20090063283 A1 | US20090157495 A1 | US20090157625 A1 | US20090228550 A1 | US20090234948 A1 | US20090235191 A1 | US20100169798 A1 | US20100293569 A1 | US20110107433 A1 | US20110126272 A1</t>
  </si>
  <si>
    <t>US10055880 B2 | US10099140 B2 | US10118099 B2 | US10137376 B2 | US10179289 B2 | US10213682 B2 | US10226701 B2 | US10226703 B2 | US10232272 B2 | US10245509 B2 | US10284454 B2 | US10286314 B2 | US10286326 B2 | US10300390 B2 | US10315113 B2 | US10322351 B2 | US10376781 B2 | US10376792 B2 | US10376793 B2 | US10421019 B2 | US10463964 B2 | US10463971 B2 | US10471348 B2 | US10486068 B2 | US10500498 B2 | US10537809 B2 | US10561945 B2 | US10573065 B2 | US10586380 B2 | US10596471 B2 | US10627983 B2 | US10650539 B2 | US10668367 B2 | US10668381 B2 | US10694352 B2 | US10702779 B2 | US10709981 B2 | US10765948 B2 | US10807003 B2 | US10818060 B2 | US10835818 B2 | US10857468 B2 | US10861079 B2 | US10864443 B2 | US10898813 B2 | US10905963 B2 | US10974150 B2 | US10981051 B2 | US10981069 B2 | US10987588 B2 | US10991110 B2 | US11040286 B2 | US11097193 B2 | US11115712 B2 | US11117055 B2 | US11148063 B2 | US11185784 B2 | US11189084 B2 | US11192028 B2 | US11207596 B2 | US11213753 B2 | US11224807 B2 | US11263670 B2 | US11278813 B2 | US11305191 B2 | US11310346 B2 | US11344808 B2 | US11351459 B2 | US11351466 B2 | US11413536 B2 | US11420119 B2 | US11420122 B2 | US11423556 B2 | US11423605 B2 | US11439904 B2 | US11439909 B2 | US11446582 B2 | US11524234 B2 | US11524237 B2 | US11537209 B2</t>
  </si>
  <si>
    <t>2012-10-18</t>
  </si>
  <si>
    <t>2017-11-07</t>
  </si>
  <si>
    <t>2012-06-26</t>
  </si>
  <si>
    <t>2032-02-14</t>
  </si>
  <si>
    <t>A server computer is connected to a plurality of client computers through a network and controls objects in a Metaverse accessed by the client computers. The server computer includes a storage unit for storing an object ID specifying an object accessible in the Metaverse by the plurality of client computers and authenticity information associated with the object ID. The authenticity information indicates that the object is genuine. The server computer also includes a communication unit for communicating with each of the client computers. The server computer also includes an enquiry unit for causing the communication unit to transmit the authenticity information corresponding to the object ID to at least one of the plurality of client computers upon receipt of an enquiry request to enquire about the object ID of the object from one of the plurality of client computers.</t>
  </si>
  <si>
    <t>Determining whether object is genuine or fake in metaverse</t>
  </si>
  <si>
    <t>KRISTOFFER L S SAYOC</t>
  </si>
  <si>
    <t>2443: Computer Networks</t>
  </si>
  <si>
    <t xml:space="preserve">A computer-implemented method of determining whether an object is genuine or fake in a Metaverse, the method being implemented in a computer system having one or more physical processors programmed with computer program instructions that, when executed by the one or more physical processors, cause the computer system to perform the method, the method comprising:
causing, by the computer system a first entry to be stored in a data record, wherein the first entry comprises a first object ID and a first authenticity information, wherein the first object ID specifies a first object in the Metaverse accessible by avatars of users that access the Metaverse via client devices, wherein the first object is owned by a first user, and wherein the first authenticity information indicates that the first object is genuine;
in response to the first object being copied to form a second object in the Metaverse, causing, using the computer system, the first entry to be copied to form a second entry in the data record, wherein the second entry co-exists with the first entry and includes a second object ID and a second authenticity information, wherein the second object ID specifies the second object in the Metaverse, and wherein the second authenticity information indicates that the second object is fake;
receiving, by the computer system, from a client device, an enquiry request concerning the second object, the enquiry request including the second object ID;
transmitting, by the computer system, the second authenticity information corresponding to the second object ID to the client device in response to the enquiry request; and
transmitting, by the computer system, an alert notification to a first user client device associated with the first user in response to the enquiry request, the alert notification notifying the first user that the second object is a copy of the first object owned by the first user.
</t>
  </si>
  <si>
    <t>1. A computer-implemented method of determining whether an object is genuine or fake in a Metaverse, the method being implemented in a computer system having one or more physical processors programmed with computer program instructions that, when executed by the one or more physical processors, cause the computer system to perform the method, the method comprising:
causing, by the computer system a first entry to be stored in a data record, wherein the first entry comprises a first object ID and a first authenticity information, wherein the first object ID specifies a first object in the Metaverse accessible by avatars of users that access the Metaverse via client devices, wherein the first object is owned by a first user, and wherein the first authenticity information indicates that the first object is genuine;
in response to the first object being copied to form a second object in the Metaverse, causing, using the computer system, the first entry to be copied to form a second entry in the data record, wherein the second entry co-exists with the first entry and includes a second object ID and a second authenticity information, wherein the second object ID specifies the second object in the Metaverse, and wherein the second authenticity information indicates that the second object is fake;
receiving, by the computer system, from a client device, an enquiry request concerning the second object, the enquiry request including the second object ID;
transmitting, by the computer system, the second authenticity information corresponding to the second object ID to the client device in response to the enquiry request; and
transmitting, by the computer system, an alert notification to a first user client device associated with the first user in response to the enquiry request, the alert notification notifying the first user that the second object is a copy of the first object owned by the first user.
2. The method of claim 1, wherein:
the first object is an accessory object for avatars in the Metaverse; and
wherein the first authenticity information further includes one or more of manager information specifying a manager of a brand of the accessory object, a brand name indicating the name of a brand of the accessory object, or logo data indicating a logo of a brand of the accessory object.
3. The method of claim 1, wherein:
the first object is an employee badge object of an avatar in the Metaverse; and
wherein the first authenticity information further includes one or more of a company name associated with the employee badge object, or logo data indicating a logo of a company associated with the employee badge object.
4. The method of claim 1, wherein:
the first object is a ticket having an expiration time in the Metaverse; and
wherein the first authenticity information further includes time period information indicating an expiration time of the first authenticity information.
5. The method of claim 1, wherein an enquiry request is received responsive to a selection of the first object in the Metaverse.
6. A system for determining whether an object is genuine or fake in a Metaverse, the system comprising:
one or more physical processors programmed with one or more computer program instructions which, when executed, cause the one or more physical processors to:
store a first entry in a data record, wherein the first entry comprises a first object ID and a first authenticity information, wherein the first object ID specifies a first object in the Metaverse accessible by avatars of users that access the Metaverse via client devices, wherein the first object is owned by a first user, and wherein the first authenticity information indicates that the first object is genuine;
in response to the first object being copied to form a second object in the Metaverse, cause the first entry to be copied to form a second entry in the data record, wherein the second entry co-exists with the first entry and includes a second object ID and a second authenticity information, wherein the second object ID specifies the second object in the Metaverse, and wherein the second authenticity information indicates that the second object is fake;
receive, from a client device, an enquiry request concerning the second object, the enquiry request including the second object ID;
transmit the second authenticity information corresponding to the second object ID to the client device in response to the enquiry request; and
transmit an alert notification to a first user client device associated with the first user in response to the enquiry request, the alert notification notifying the first user that the second object is a copy of the first object owned by the first user.
7. The system of claim 6, wherein:
the first object is an accessory object for avatars in the Metaverse; and
wherein the first authenticity information further includes one or more of manager information specifying a manager of a brand of the accessory object, a brand name indicating the name of a brand of the accessory object, or logo data indicating a logo of a brand of the accessory object.
8. The system of claim 6, wherein:
the first object is an employee badge object of an avatar in the Metaverse; and
wherein the first authenticity information further includes one or more of a company name associated with the employee badge object, or logo data indicating a logo of a company associated with the employee badge object.
9. The system of claim 6, wherein:
the first object is a ticket having an expiration time in the Metaverse; and
wherein the first authenticity information further includes time period information indicating an expiration time of the first authenticity information.
10. The system of claim 6, wherein an enquiry request is received responsive to a selection of the first object in the Metaverse.
11. A computer program product for determining whether an object is genuine or fake in a Metaverse, the computer program product comprising:
one or more tangible, non-transitory computer-readable storage devices;
program instructions, stored on at least one of the one or more tangible, non-transitory computer-readable tangible storage devices that, when executed, cause a computer to:
store a first entry in a data record, wherein the first entry comprises a first object ID and a first authenticity information, wherein the first object ID specifies a first object in the Metaverse accessible by avatars of users that access the Metaverse via client devices, wherein the first object is owned by a first user, and wherein the first authenticity information indicates that the first object is genuine;
in response to the first object being copied to form a second object in the Metaverse, cause the first entry to be copied to form a second entry in the data record, wherein the second entry co-exists with the first entry and includes a second object ID and a second authenticity information, wherein the second object ID specifies the second object in the Metaverse, and wherein the second authenticity information indicates that the second object is fake;
receive, from a client device, an enquiry request concerning the second object, the enquiry request including the second object ID;
transmit the second authenticity information corresponding to the second object ID to the client device in response to the enquiry request; and
transmit an alert notification to a first user client device associated with the first user in response to the enquiry request, the alert notification notifying the first user that the second object is a copy of the first object owned by the first user.</t>
  </si>
  <si>
    <t>US20120266256 A1</t>
  </si>
  <si>
    <t>G06F01516000 | A63F01330000 | A63F01371000 | A63F01375000 | G06F02160000 | G06F02162000 | G06F02164000 | G06N00300000 | G06Q03006000 | G06Q05000000 | G06T00100000</t>
  </si>
  <si>
    <t>I-000108619958</t>
  </si>
  <si>
    <t>20 years from 2009-03-06 (file date of patent US20090228550) plus a term adjustment of 1075 days</t>
  </si>
  <si>
    <t>https://patentscout.innography.com/share/tavE3M_mpfNLiJN8OJzyhA%3D%3D</t>
  </si>
  <si>
    <t>2012-12-31-ASSIGNMENT (ACTIVISION PUBLISHING, INC.)|2014-01-31-ASSIGNMENT (BANK OF AMERICA, N.A.)|2016-10-14-ASSIGNMENT (ACTIVISION BLIZZARD INC.;ACTIVISION PUBLISHING, INC.;ACTIVISION ENTERTAINMENT HOLDINGS, INC.;BLIZZARD ENTERTAINMENT, INC.)|2017-10-18-INFORMATION ON STATUS: PATENT GRANT|2021-05-07-MAINTENANCE FEE PAYMENT</t>
  </si>
  <si>
    <t>https://patentscout.innography.com/share/tavE3M_mpfNLiJN8OJzyhA%3D%3D/download</t>
  </si>
  <si>
    <t>https://ppubs.uspto.gov/pubwebapp/external.html?q=9808722.pn.</t>
  </si>
  <si>
    <t>102 | US01/472151 | CTNF</t>
  </si>
  <si>
    <t>103 | US01/472151 | CTNF
103 | US01/472151 | CTNF
103 | US01/472151 | CTFR
103 | US08/808050 | CTFR
103 | US08/808050 | CTNF
103 | US08/834027 | CTNF
103 | US10/139064 | CTNF
103 | US10/139064 | CTFR
103 | US10/139064 | CTNF
103 | US10/442811 | CTNF
103 | US12/345376 | CTFR
103 | US12/345376 | CTNF
103 | US12/345376 | CTNF
103 | US553787 | CTNF
103 | US553787 | CTNF
103 | US553787 | CTFR</t>
  </si>
  <si>
    <t>112 | (N/A) | CTFR
112 | (N/A) | CTNF</t>
  </si>
  <si>
    <t>Consolidated Water Co. Ltd.</t>
  </si>
  <si>
    <t>Consolidated Water Co. Ltd.
Consolidated Water Co. Ltd.
Consolidated Water Co. Ltd.
Corp For Nat RES Initiatives
Corp For Nat RES Initiatives
HANGER SOLUTIONS, LLC
Accenture Plc
Accenture Plc
Accenture Plc
Electronics And Telecommunications Research Institute
Avaya Inc
Avaya Inc
Avaya Inc
Unassigned
Unassigned
Unassigned</t>
  </si>
  <si>
    <t>2016-05-05</t>
  </si>
  <si>
    <t>2016-11-16</t>
  </si>
  <si>
    <t>Novel IP</t>
  </si>
  <si>
    <t>1. A computer-implemented method of determining whether an object is genuine or fake in a Metaverse, the method being implemented in a computer system having one or more physical processors programmed with computer program instructions that, when executed by the one or more physical processors, cause the computer system to perform the method, the method comprising:
causing, by the computer system a first entry to be stored in a data record, wherein the first entry comprises a first object ID and a first authenticity information, wherein the first object ID specifies a first object in the Metaverse accessible by avatars of users that access the Metaverse via client devices, wherein the first object is owned by a first user, and wherein the first authenticity information indicates that the first object is genuine;
in response to the first object being copied to form a second object in the Metaverse, causing, using the computer system, the first entry to be copied to form a second entry in the data record, wherein the second entry co-exists with the first entry and includes a second object ID and a second authenticity information, wherein the second object ID specifies the second object in the Metaverse, and wherein the second authenticity information indicates that the second object is fake;
receiving, by the computer system, from a client device, an enquiry request concerning the second object, the enquiry request including the second object ID;
transmitting, by the computer system, the second authenticity information corresponding to the second object ID to the client device in response to the enquiry request; and
transmitting, by the computer system, an alert notification to a first user client device associated with the first user in response to the enquiry request, the alert notification notifying the first user that the second object is a copy of the first object owned by the first user.</t>
  </si>
  <si>
    <t>6. A system for determining whether an object is genuine or fake in a Metaverse, the system comprising:
one or more physical processors programmed with one or more computer program instructions which, when executed, cause the one or more physical processors to:
store a first entry in a data record, wherein the first entry comprises a first object ID and a first authenticity information, wherein the first object ID specifies a first object in the Metaverse accessible by avatars of users that access the Metaverse via client devices, wherein the first object is owned by a first user, and wherein the first authenticity information indicates that the first object is genuine;
in response to the first object being copied to form a second object in the Metaverse, cause the first entry to be copied to form a second entry in the data record, wherein the second entry co-exists with the first entry and includes a second object ID and a second authenticity information, wherein the second object ID specifies the second object in the Metaverse, and wherein the second authenticity information indicates that the second object is fake;
receive, from a client device, an enquiry request concerning the second object, the enquiry request including the second object ID;
transmit the second authenticity information corresponding to the second object ID to the client device in response to the enquiry request; and
transmit an alert notification to a first user client device associated with the first user in response to the enquiry request, the alert notification notifying the first user that the second object is a copy of the first object owned by the first user.</t>
  </si>
  <si>
    <t>11. A computer program product for determining whether an object is genuine or fake in a Metaverse, the computer program product comprising:
one or more tangible, non-transitory computer-readable storage devices;
program instructions, stored on at least one of the one or more tangible, non-transitory computer-readable tangible storage devices that, when executed, cause a computer to:
store a first entry in a data record, wherein the first entry comprises a first object ID and a first authenticity information, wherein the first object ID specifies a first object in the Metaverse accessible by avatars of users that access the Metaverse via client devices, wherein the first object is owned by a first user, and wherein the first authenticity information indicates that the first object is genuine;
in response to the first object being copied to form a second object in the Metaverse, cause the first entry to be copied to form a second entry in the data record, wherein the second entry co-exists with the first entry and includes a second object ID and a second authenticity information, wherein the second object ID specifies the second object in the Metaverse, and wherein the second authenticity information indicates that the second object is fake;
receive, from a client device, an enquiry request concerning the second object, the enquiry request including the second object ID;
transmit the second authenticity information corresponding to the second object ID to the client device in response to the enquiry request; and
transmit an alert notification to a first user client device associated with the first user in response to the enquiry request, the alert notification notifying the first user that the second object is a copy of the first object owned by the first user.</t>
  </si>
  <si>
    <t>JP2001249876 A | US5546557 A | US6785708 B1 | US20050164795 A1 | US20060135237 A1 | US20070207860 A1</t>
  </si>
  <si>
    <t>2029-04-19</t>
  </si>
  <si>
    <t xml:space="preserve">A metaverse system comprising:
a client computer coupled to a network;
a metaverse server coupled to the client computer, the metaverse server to host a metaverse application;
a group link engine coupled to the metaverse server, the group link engine to open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and at least one user of the linked group is designated as a follower of the linked group associated with the group link, wherein each of the at least two linked users is associated with a different avatar, the group link engine comprising:
a group link controller to allow the user designated as the leader to control an action of the avatar of the at least one follower based on an action of the leader to control the avatar of the leader, wherein the action of the avatar of the at least one follower mimics action of the avatar of the leader to control the avatar of the leader without input by the at least one follower, wherein the action of the avatar of the at least one follower can be viewed separately from the avatar associated with the leader,
wherein the group movement comprises a delayed teleport, wherein the leader teleports to a new location apart from a remainder of the linked group, and after a predetermined delay, the remainder of the avatars in the linked group are then teleported to the new location without input from the users in the linked group not designated as leader.
</t>
  </si>
  <si>
    <t>1. A metaverse system comprising:
a client computer coupled to a network;
a metaverse server coupled to the client computer, the metaverse server to host a metaverse application;
a group link engine coupled to the metaverse server, the group link engine to open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and at least one user of the linked group is designated as a follower of the linked group associated with the group link, wherein each of the at least two linked users is associated with a different avatar, the group link engine comprising:
a group link controller to allow the user designated as the leader to control an action of the avatar of the at least one follower based on an action of the leader to control the avatar of the leader, wherein the action of the avatar of the at least one follower mimics action of the avatar of the leader to control the avatar of the leader without input by the at least one follower, wherein the action of the avatar of the at least one follower can be viewed separately from the avatar associated with the leader,
wherein the group movement comprises a delayed teleport, wherein the leader teleports to a new location apart from a remainder of the linked group, and after a predetermined delay, the remainder of the avatars in the linked group are then teleported to the new location without input from the users in the linked group not designated as leader.
2. The metaverse system of claim 1, the group link engine further comprising a group link configuration engine coupled to the group link controller, the group link configuration engine to send a group link invitation to the second user to join the linked group.
3. The metaverse system of claim 2, wherein the group link configuration engine terminates the group link invitation in response to a user's rejection of the group link invitation.
4. The metaverse system of claim 3, wherein the group link configuration engine is further configured to disconnect temporarily a linked user from the group link connection and reconnect the linked user, that was temporarily disconnected from the group link connection, to the linked group.
5. The metaverse system of claim 1, wherein the group link controller stores a plurality of group movements on a storage device in response to a request from a user in a linked group to save the plurality of group movements.
6. The metaverse system of claim 1, the group link controller further configured to control a group movement in response to an input command by the leader of the linked group, wherein the group movement comprises one or more of:
a cascaded group movement, wherein a user in the linked group is ranked in a predetermined order to allow a movement initiated by the leader to be performed by the avatar of the leader first, and then after a predetermined delay for each avatar, each additional avatar separately performs that movement according to the rank of each user in the linked group not designated as leader without input from the users in the linked group not designated as leader; and
a verified teleport, wherein the leader teleports to a new location apart from the remainder of the linked group, and the remainder of the avatars of the linked group teleport to the new location in response to a verification by the leader to travel to the new location without input from the users in the linked group not designated as leader.
7. The metaverse system of claim 6, wherein the group link controller stores a plurality of group movements on a storage device in response to a request from a user in a linked group to save the plurality of group movements.
8. The metaverse system of claim 1, wherein the group link controller allows the second user to decline the action that one of the users designated as the leader initiates to control the avatar of the second user.
9. A method comprising:
opening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and
controlling an action of a plurality of avatars of the linked group associated with the group link connection in response to an input command by one of the users designated as the leader of the linked group, wherein the action of one or more avatars of the linked group not designated as the leader mimics an action of the avatar of the user designated as the leader without input by the users of the linked group not designated as the leader, the action of the avatar of the user designated as the leader in response to the input command, wherein the action of each of the plurality of avatars can be viewed separately, wherein the group movement comprises a delayed teleport, wherein the leader teleports to a new location apart from a remainder of the linked group, and after a predetermined delay, the remainder of the avatars in the linked group are then teleported to the new location without input from the users in the linked group not designated as leader.
10. The method of claim 9, further comprising:
sending a group link invitation to another user to join the linked group;
linking the other user to the group link connection in response to the other user accepting the group link invitation to join the linked group; and
saving a group link connection profile.
11. The method of claim 9, further comprising:
disconnecting at least temporarily a linked user from the group link connection; and
reconnecting the linked user, that temporarily disconnected from the group link connection, to the linked group.
12. The method of claim 9, further comprising:
requesting a transfer of the designation of the user as the leader of the group link connection; and
transferring the designation of at least one of the users designated as the leader of the group link connection to another user of the group link connection.
13. An apparatus, comprising:
means for establishing a linked group of metaverse users, each metaverse user associated with an avatar of a metaverse application, wherein one of the metaverse users is designated as a leader of the linked group; and
means for controlling an action of all of the avatars of the linked group in response to an action of the avatar associated with the leader of the linked group of metaverse users, wherein the action of one or more avatars of the linked group not designated as the leader mimics the action of the avatar of the user designated as the leader designated as the leader without input by the metaverse users not designated as the leader, the action of the avatar of the user designated as the leader in response to the input command, wherein the action of each avatar of the linked group can be viewed separately, wherein the group movement comprises a delayed teleport, wherein the leader teleports to a new location apart from a remainder of the linked group, and after a predetermined delay, the remainder of the avatars in the linked group are then teleported to the new location without input from the users in the linked group not designated as leader.</t>
  </si>
  <si>
    <t>Jones, Angela Richards|Lyle, Ruthie D|Mallempati, Vandana</t>
  </si>
  <si>
    <t>G06F00304800 | G06N00300000 | H04L01224000 | H04L02906000</t>
  </si>
  <si>
    <t>20 years from 2008-01-09 (file date of patent US08990707) plus a term adjustment of 466 days</t>
  </si>
  <si>
    <t>https://patentscout.innography.com/share/0z1Hiwf7Skc8sEI3aIJBxA%3D%3D</t>
  </si>
  <si>
    <t>https://patentscout.innography.com/share/0z1Hiwf7Skc8sEI3aIJBxA%3D%3D/download</t>
  </si>
  <si>
    <t>https://ppubs.uspto.gov/pubwebapp/external.html?q=10326667.pn.</t>
  </si>
  <si>
    <t>1. A metaverse system comprising:
a client computer coupled to a network;
a metaverse server coupled to the client computer, the metaverse server to host a metaverse application;
a group link engine coupled to the metaverse server, the group link engine to open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and at least one user of the linked group is designated as a follower of the linked group associated with the group link, wherein each of the at least two linked users is associated with a different avatar, the group link engine comprising:
a group link controller to allow the user designated as the leader to control an action of the avatar of the at least one follower based on an action of the leader to control the avatar of the leader, wherein the action of the avatar of the at least one follower mimics action of the avatar of the leader to control the avatar of the leader without input by the at least one follower, wherein the action of the avatar of the at least one follower can be viewed separately from the avatar associated with the leader,
wherein the group movement comprises a delayed teleport, wherein the leader teleports to a new location apart from a remainder of the linked group, and after a predetermined delay, the remainder of the avatars in the linked group are then teleported to the new location without input from the users in the linked group not designated as leader.</t>
  </si>
  <si>
    <t>9. A method comprising:
opening a group link connection in response to a request from a user to open the group link connection, wherein a linked group associated with the group link connection comprises at least two linked users, and at least one of the linked users is designated as a leader of the linked group associated with the group link connection; and
controlling an action of a plurality of avatars of the linked group associated with the group link connection in response to an input command by one of the users designated as the leader of the linked group, wherein the action of one or more avatars of the linked group not designated as the leader mimics an action of the avatar of the user designated as the leader without input by the users of the linked group not designated as the leader, the action of the avatar of the user designated as the leader in response to the input command, wherein the action of each of the plurality of avatars can be viewed separately, wherein the group movement comprises a delayed teleport, wherein the leader teleports to a new location apart from a remainder of the linked group, and after a predetermined delay, the remainder of the avatars in the linked group are then teleported to the new location without input from the users in the linked group not designated as leader.</t>
  </si>
  <si>
    <t>13. An apparatus, comprising:
means for establishing a linked group of metaverse users, each metaverse user associated with an avatar of a metaverse application, wherein one of the metaverse users is designated as a leader of the linked group; and
means for controlling an action of all of the avatars of the linked group in response to an action of the avatar associated with the leader of the linked group of metaverse users, wherein the action of one or more avatars of the linked group not designated as the leader mimics the action of the avatar of the user designated as the leader designated as the leader without input by the metaverse users not designated as the leader, the action of the avatar of the user designated as the leader in response to the input command, wherein the action of each avatar of the linked group can be viewed separately, wherein the group movement comprises a delayed teleport, wherein the leader teleports to a new location apart from a remainder of the linked group, and after a predetermined delay, the remainder of the avatars in the linked group are then teleported to the new location without input from the users in the linked group not designated as leader.</t>
  </si>
  <si>
    <t>KR102195630 B1 | KR102411058 B1 | KR20170010791 A | KR20170109458 A | KR20190115735 A | KR20220045291 A</t>
  </si>
  <si>
    <t>2022-11-03</t>
  </si>
  <si>
    <t>2042-07-14</t>
  </si>
  <si>
    <t>The present disclosure relates to a device for implementing metaverse for education using 3D asset placement and it is not only easy to author metaverse content using an editing tool but also uses this to teach students how to use an editing tool for metaverse content authoring. can do.</t>
  </si>
  <si>
    <t>Device, method and program that implements an educational metaverse using 3d asset placement</t>
  </si>
  <si>
    <t>Govr Inc.</t>
  </si>
  <si>
    <t>GOVR INC.</t>
  </si>
  <si>
    <t>KR20220086894A</t>
  </si>
  <si>
    <t>a communication unit for communicating with the leader device and the student device;an editing tool for authoring metaverse content and a memory storing a plurality of 3D models for use in the editing tool; and when a project generation signal is received from the leader device, the editing tool is loaded and displayed as the leader device, and the edit signal for at least one of the metaverse world, avatar, and item for the editing tool received from the leader device is applied. Accordingly, when the metaverse content is authored and block coding display is requested from the leader device, the edit status information for which the block coding display is requested is displayed as at least one block, and from the leader device to a specific block among the displayed blocks When the included information is edited, the edited information is reflected in the metaverse content, and when the screen sharing function is executed from the leader device, the editing status of the metaverse content received from the leader device is participated in the project When the screen of at least one student device is displayed and shared, and the edit sharing function is executed from the leader device, When the at least one student device is given the right to operate the editing tool for the metaverse content and a play function for the metaverse content is executed from the leader device, the metaverse content authored through the editing tool and a processor that plays and displays as the leader device and the at least one student device, wherein the processor evaluates the class participation and academic achievement of each of the at least one student, and the captured image received from the student device recognizes each student's face and gaze, calculates gaze information on each student's monitor based on each student's gaze recognized in the received captured image, and gazes on each student monitor during the project execution based on the calculation of the class participation, and calculating the editing tool operation information of the instructor according to the operation signal of the editing tool received from the leader device during the project execution, A matching degree is calculated by matching the calculated gaze information of each student with the calculated teacher's editing tool manipulation information, the academic achievement is evaluated based on the calculated matching degree, and based on the calculated academic achievement, determines the difficulty of the educational program provided to each student, receives an editing tool control signal input to the at least one student device through the communication unit, and based on the received editing tool control signal, the project The first time required to select a specific object and input it to the editing screen according to, calculates the editing tool manipulation proficiency of each student based on the first time and the second time accumulated for each student, and based on the second time accumulated for all students, the project of the editing tool object recommendation score for A list of metaverse worlds, avatars, items, and shortcut keys expected to be used in the project by analyzing the project information when calculating object visibility of the project in the editing tool and receiving a project creation request from the leader device is selected and provided to the leader device, and when a first object is selected from the object list from a specific device and input to the editing screen, project information of the metaverse content currently being authored, user settings of the specific device, and the selected first object 1 Based on the type of object, at least one shortcut key for editing the selected first object is selected as a shortcut set, the selected shortcut set is displayed on the screen of the specific device, and from the specific device in the object list When a second object is selected and input to the editing screen, project information of the metaverse content currently being authored; Detect whether the second object corresponds to a continuous command for the first object based on the object category of the first object and the second object and the object combination easiness of the first object and the second object,, when it is determined that the second object corresponds to a continuation command for the first object, based on the input position of the second object by the editing tool control of the specific device, the An apparatus for implementing a metaverse for education based on artificial intelligence, characterized in that it determines the type of continuous command of the second object, executes the determined continuous command, and reflects the second object on the editing tool.</t>
  </si>
  <si>
    <t>a communication unit for communicating with the leader device and the student device;an editing tool for authoring metaverse content and a memory storing a plurality of 3D models for use in the editing tool; and when a project generation signal is received from the leader device, the editing tool is loaded and displayed as the leader device, and the edit signal for at least one of the metaverse world, avatar, and item for the editing tool received from the leader device is applied. Accordingly, when the metaverse content is authored and block coding display is requested from the leader device, the edit status information for which the block coding display is requested is displayed as at least one block, and from the leader device to a specific block among the displayed blocks When the included information is edited, the edited information is reflected in the metaverse content, and when the screen sharing function is executed from the leader device, the editing status of the metaverse content received from the leader device is participated in the project When the screen of at least one student device is displayed and shared, and the edit sharing function is executed from the leader device, When the at least one student device is given the right to operate the editing tool for the metaverse content and a play function for the metaverse content is executed from the leader device, the metaverse content authored through the editing tool and a processor that plays and displays as the leader device and the at least one student device, wherein the processor evaluates the class participation and academic achievement of each of the at least one student, and the captured image received from the student device recognizes each student's face and gaze, calculates gaze information on each student's monitor based on each student's gaze recognized in the received captured image, and gazes on each student monitor during the project execution based on the calculation of the class participation, and calculating the editing tool operation information of the instructor according to the operation signal of the editing tool received from the leader device during the project execution, A matching degree is calculated by matching the calculated gaze information of each student with the calculated teacher's editing tool manipulation information, the academic achievement is evaluated based on the calculated matching degree, and based on the calculated academic achievement, determines the difficulty of the educational program provided to each student, receives an editing tool control signal input to the at least one student device through the communication unit, and based on the received editing tool control signal, the project The first time required to select a specific object and input it to the editing screen according to, calculates the editing tool manipulation proficiency of each student based on the first time and the second time accumulated for each student, and based on the second time accumulated for all students, the project of the editing tool object recommendation score for A list of metaverse worlds, avatars, items, and shortcut keys expected to be used in the project by analyzing the project information when calculating object visibility of the project in the editing tool and receiving a project creation request from the leader device is selected and provided to the leader device, and when a first object is selected from the object list from a specific device and input to the editing screen, project information of the metaverse content currently being authored, user settings of the specific device, and the selected first object 1 Based on the type of object, at least one shortcut key for editing the selected first object is selected as a shortcut set, the selected shortcut set is displayed on the screen of the specific device, and from the specific device in the object list When a second object is selected and input to the editing screen, project information of the metaverse content currently being authored; Detect whether the second object corresponds to a continuous command for the first object based on the object category of the first object and the second object and the object combination easiness of the first object and the second object,, when it is determined that the second object corresponds to a continuation command for the first object, based on the input position of the second object by the editing tool control of the specific device, the An apparatus for implementing a metaverse for education based on artificial intelligence, characterized in that it determines the type of continuous command of the second object, executes the determined continuous command, and reflects the second object on the editing tool.
delete
delete
delete
According to claim 1, wherein the processor, when a specific object is selected from the object list from the specific device and input to the editing screen, a straight line in at least one axial direction for drawing the shape of the specific object on the editing screen or An object guide including a curved guide line is generated and displayed on the editing screen, the at least one shortcut key for editing the object guide is displayed on one side of the object guide, and editing of the object guide is completed, an apparatus for implementing an artificial intelligence-based metaverse for education, characterized in that the shape, position, and size of the specific object are determined and displayed on the editing screen.
delete
delete
The method of claim 1, wherein the processor generates L first codes based on the generation time of the virtual class generated by the instructor, and generates M second codes based on the instructor's information, and Based on class information and the number of students corresponding to the virtual class, N third codes are generated, and the generated first code, second code, and third code are combined to create a virtual class (Virtual Class) created by the instructor.), an artificial intelligence-based educational metaverse implementation device, characterized in that it generates an entry code including letters and numbers to participate.
A method performed by an educational metaverse implementation apparatus, the method comprising: when a project generation signal is received from a leader device, loading an editing tool for metaverse content authoring and displaying it on the leader device;authoring the metaverse content according to an edit signal for at least one of a metaverse world, an avatar, and an item for the editing tool received from the leader device;when block coding display is requested from the leader device, displaying the block coding display requested edit state information as at least one block;when information included in a specific block among the displayed blocks is edited from the leader device, reflecting the edited information to the metaverse content;when the screen sharing function is executed from the leader device, displaying and sharing the editing status of the metaverse content received from the leader device on the screen of at least one student device participating in the project;granting an operation right of the editing tool for the metaverse content to the at least one student device when an editing sharing function is executed from the leader device; and when a play function for the metaverse content is executed from the leader device, playing the metaverse content authored through the editing tool and displaying it on the leader device and the at least one student device, The educational metaverse implementation apparatus evaluates the class participation and academic achievement of each of the at least one student, recognizes the face and gaze of each student in the captured image received from the student device, and recognizes the received captured image Based on each student's gaze, gaze information on each student's monitor is calculated, and based on the gaze on each student monitor during the project execution, the class participation is calculated, and the leader during the project execution. calculating the teacher's editing tool operation information according to the operation signal of the editing tool received from the device, and calculating the matching degree by matching the calculated gaze information of each student with the calculated teacher's editing tool operation information, Evaluating the academic achievement based on the calculated matching degree, determining the difficulty of the educational program provided to each student based on the calculated academic achievement, and inputting to the at least one student device through a communication unit Receives an editing tool control signal, selects a specific object according to the project based on the received editing tool control signal, inputs it to the editing screen, and adjusts the shape, size, and position of the specific object One hour, the second time it takes to select the next object after completing the specific object, is measured, and based on the first and second hours accumulated for each student, each student's editing tool manipulation proficiency is calculated and calculating an object recommendation score for the project of the editing tool and object visibility of the project of the editing tool based on the second time accumulated for all students, When a first object is selected from the object list from a specific device and input to the editing screen, the selected first object is selected based on project information of the metaverse content currently being authored, the user setting of the specific device, and the type of the selected first object. At least one shortcut key for editing a first object is selected as a shortcut key set, the selected shortcut key set is displayed on the screen of the specific device, and a second object is selected from the object list from the specific device and displayed on the editing screen When input, the second object is determined based on the project information of the metaverse content currently being authored, the object categories of the first object and the second object, and the ease of object combining of the first object and the second object. Detects whether the continuation command for the first object corresponds to the second object, and if it is determined that the second object corresponds to the continuation command for the first object, Based on the input position of the second object by the control of the editing tool of the specific device, the type of continuous command of the second object with respect to the first object is determined, and the determined continuous command is executed to make the second A method for implementing a metaverse for education based on artificial intelligence, characterized in that the object is reflected on the editing tool.
A computer-readable recording medium in which a program for executing the metaverse implementation method for education of claim 9 is stored in combination with a computer that is hardware.</t>
  </si>
  <si>
    <t>Lee, Tae Hyun</t>
  </si>
  <si>
    <t>G06Q0050200000</t>
  </si>
  <si>
    <t>G06Q05020000</t>
  </si>
  <si>
    <t>G06Q05020000 | G06Q05010000 | G06T01920000 | G09B00502000 | G09B01900000</t>
  </si>
  <si>
    <t>KR102462139B1</t>
  </si>
  <si>
    <t>KR102462139 B1</t>
  </si>
  <si>
    <t>I-000232497660</t>
  </si>
  <si>
    <t>20 years from 2022-07-14 (file date)</t>
  </si>
  <si>
    <t>https://patentscout.innography.com/share/SKLMIkO2iUp-0kSYDLV32A%3D%3D</t>
  </si>
  <si>
    <t>2022-09-07-NOTIFICATION OF REASON FOR REFUSAL|2022-10-27-DECISION TO GRANT OR REGISTRATION OF PATENT RIGHT|2022-10-28-WRITTEN DECISION TO GRANT</t>
  </si>
  <si>
    <t>https://patentscout.innography.com/share/SKLMIkO2iUp-0kSYDLV32A%3D%3D/download</t>
  </si>
  <si>
    <t>https://v3.espacenet.com/publicationDetails/biblio?CC=KR&amp;NR=102462139B1&amp;KC=B1&amp;FT=D&amp;date=20221103&amp;DB=EPODOC&amp;locale=</t>
  </si>
  <si>
    <t>KR20102462139 B1</t>
  </si>
  <si>
    <t>1.  a communication unit for communicating with the leader device and the student device;an editing tool for authoring metaverse content and a memory storing a plurality of 3D models for use in the editing tool; and when a project generation signal is received from the leader device, the editing tool is loaded and displayed as the leader device, and the edit signal for at least one of the metaverse world, avatar, and item for the editing tool received from the leader device is applied. Accordingly, when the metaverse content is authored and block coding display is requested from the leader device, the edit status information for which the block coding display is requested is displayed as at least one block, and from the leader device to a specific block among the displayed blocks When the included information is edited, the edited information is reflected in the metaverse content, and when the screen sharing function is executed from the leader device, the editing status of the metaverse content received from the leader device is participated in the project When the screen of at least one student device is displayed and shared, and the edit sharing function is executed from the leader device, When the at least one student device is given the right to operate the editing tool for the metaverse content and a play function for the metaverse content is executed from the leader device, the metaverse content authored through the editing tool and a processor that plays and displays as the leader device and the at least one student device, wherein the processor evaluates the class participation and academic achievement of each of the at least one student, and the captured image received from the student device recognizes each student's face and gaze, calculates gaze information on each student's monitor based on each student's gaze recognized in the received captured image, and gazes on each student monitor during the project execution based on the calculation of the class participation, and calculating the editing tool operation information of the instructor according to the operation signal of the editing tool received from the leader device during the project execution, A matching degree is calculated by matching the calculated gaze information of each student with the calculated teacher's editing tool manipulation information, the academic achievement is evaluated based on the calculated matching degree, and based on the calculated academic achievement, determines the difficulty of the educational program provided to each student, receives an editing tool control signal input to the at least one student device through the communication unit, and based on the received editing tool control signal, the project The first time required to select a specific object and input it to the editing screen according to, calculates the editing tool manipulation proficiency of each student based on the first time and the second time accumulated for each student, and based on the second time accumulated for all students, the project of the editing tool object recommendation score for A list of metaverse worlds, avatars, items, and shortcut keys expected to be used in the project by analyzing the project information when calculating object visibility of the project in the editing tool and receiving a project creation request from the leader device is selected and provided to the leader device, and when a first object is selected from the object list from a specific device and input to the editing screen, project information of the metaverse content currently being authored, user settings of the specific device, and the selected first object 1 Based on the type of object, at least one shortcut key for editing the selected first object is selected as a shortcut set, the selected shortcut set is displayed on the screen of the specific device, and from the specific device in the object list When a second object is selected and input to the editing screen, project information of the metaverse content currently being authored; Detect whether the second object corresponds to a continuous command for the first object based on the object category of the first object and the second object and the object combination easiness of the first object and the second object,, when it is determined that the second object corresponds to a continuation command for the first object, based on the input position of the second object by the editing tool control of the specific device, the An apparatus for implementing a metaverse for education based on artificial intelligence, characterized in that it determines the type of continuous command of the second object, executes the determined continuous command, and reflects the second object on the editing tool.</t>
  </si>
  <si>
    <t>9.  A method performed by an educational metaverse implementation apparatus, the method comprising: when a project generation signal is received from a leader device, loading an editing tool for metaverse content authoring and displaying it on the leader device;authoring the metaverse content according to an edit signal for at least one of a metaverse world, an avatar, and an item for the editing tool received from the leader device;when block coding display is requested from the leader device, displaying the block coding display requested edit state information as at least one block;when information included in a specific block among the displayed blocks is edited from the leader device, reflecting the edited information to the metaverse content;when the screen sharing function is executed from the leader device, displaying and sharing the editing status of the metaverse content received from the leader device on the screen of at least one student device participating in the project;granting an operation right of the editing tool for the metaverse content to the at least one student device when an editing sharing function is executed from the leader device; and when a play function for the metaverse content is executed from the leader device, playing the metaverse content authored through the editing tool and displaying it on the leader device and the at least one student device, The educational metaverse implementation apparatus evaluates the class participation and academic achievement of each of the at least one student, recognizes the face and gaze of each student in the captured image received from the student device, and recognizes the received captured image Based on each student's gaze, gaze information on each student's monitor is calculated, and based on the gaze on each student monitor during the project execution, the class participation is calculated, and the leader during the project execution. calculating the teacher's editing tool operation information according to the operation signal of the editing tool received from the device, and calculating the matching degree by matching the calculated gaze information of each student with the calculated teacher's editing tool operation information, Evaluating the academic achievement based on the calculated matching degree, determining the difficulty of the educational program provided to each student based on the calculated academic achievement, and inputting to the at least one student device through a communication unit Receives an editing tool control signal, selects a specific object according to the project based on the received editing tool control signal, inputs it to the editing screen, and adjusts the shape, size, and position of the specific object One hour, the second time it takes to select the next object after completing the specific object, is measured, and based on the first and second hours accumulated for each student, each student's editing tool manipulation proficiency is calculated and calculating an object recommendation score for the project of the editing tool and object visibility of the project of the editing tool based on the second time accumulated for all students, When a first object is selected from the object list from a specific device and input to the editing screen, the selected first object is selected based on project information of the metaverse content currently being authored, the user setting of the specific device, and the type of the selected first object. At least one shortcut key for editing a first object is selected as a shortcut key set, the selected shortcut key set is displayed on the screen of the specific device, and a second object is selected from the object list from the specific device and displayed on the editing screen When input, the second object is determined based on the project information of the metaverse content currently being authored, the object categories of the first object and the second object, and the ease of object combining of the first object and the second object. Detects whether the continuation command for the first object corresponds to the second object, and if it is determined that the second object corresponds to the continuation command for the first object, Based on the input position of the second object by the control of the editing tool of the specific device, the type of continuous command of the second object with respect to the first object is determined, and the determined continuous command is executed to make the second A method for implementing a metaverse for education based on artificial intelligence, characterized in that the object is reflected on the editing tool.</t>
  </si>
  <si>
    <t>2041-07-08</t>
  </si>
  <si>
    <t>The present invention discloses a metaverse game system. More specifically the present invention provides a user-participatory metaverse game system in which users can enjoy game content in an environment that converges virtual and reality using characters that reflect their real tendencies and online and offline activity history online and offline. is about According to an embodiment of the present invention an affiliate (merchant) or game operation server provides an AI character and a participatory bulletin board and rewards to the game content and the user participates in such game content to deal with the AI character and according to each activity By receiving rewards collecting various activity information of users from the game operation server deriving propensity judgment content based on this and reflecting the results in the user&amp;#39;s character and using them in the metaverse game it is better than existing games or platforms It can induce a lot of participation and has the effect of forming a culture of paying fair compensation according to user activities.</t>
  </si>
  <si>
    <t>A user application that is installed in one or more user terminals and participates in the game by growing the user character by reflecting the user's on and off-line activity history related to the game performed using the user character generated according to the user's input to the game;In conjunction with the user application, the user character and AI character are created according to the request of the user application, the user's propensity determination result obtained by collecting and analyzing the user's activity information is reflected in the status of the character, and one or more Selects and provides propensity judgment content to each user, and provides AI characters that are graphically displayed in response to the location designated by the user on the online map or augmented AI characters corresponding to each user's current offline location. A game operation server that provides game content that is used to kill alone or with other users; And it is installed in one or more affiliate terminals, designates the appearance time and location of the AI character according to the affiliate's input, presents the user's online and offline activities, selects rewards to be provided according to the online and offline activities, and selects the user's on-line and offline activities. Including an affiliate application for registering a product or service to be provided to, and the game operation server is located in each region through an information and communication network, in conjunction with the user application running on a user terminal and the affiliate application of the affiliate terminal, a communication unit for performing data communication by identifying a user application and an affiliate application, and determining whether the user is a member of an affiliate company; a character management unit that generates a user character according to the request of the user application, provides a result of determining the user's tendency to the user application, and reflects the experience value according to the result of the determination of the tendency and the game progress to the status of the user character;an activity collection unit that collects on-line and off-line activity information of the user provided by the affiliate terminal or the game operation server in real time; a test management unit that analyzes and stores the user's propensity in response to the user's activity information collected by the activity collection unit, selects one or more propensity determination contents for collecting additional data, and provides the selected contents to the user application; and defining one or more game zones in each region based on the current location of one or more currently accessed user terminals or a location designated by the user terminal, and participating one or more user characters and AI characters in the game zone according to the request of the user application. and a game providing unit that proceeds with the game, and the test management unit, when two or more user applications are running, when two users set an alliance, determine the same or sequentially different propensities for the two user applications in which the alliance is set. A user-participatory metaverse game system that can provide content and, when the propensity analysis is completed, enable each user who participated in the propensity determination content to share the result with each other through a user application.</t>
  </si>
  <si>
    <t>A user application that is installed in one or more user terminals and participates in the game by growing the user character by reflecting the user's on and off-line activity history related to the game performed using the user character generated according to the user's input to the game;In conjunction with the user application, the user character and AI character are created according to the request of the user application, the user's propensity determination result obtained by collecting and analyzing the user's activity information is reflected in the status of the character, and one or more Selects and provides propensity judgment content to each user, and provides AI characters that are graphically displayed in response to the location designated by the user on the online map or augmented AI characters corresponding to each user's current offline location. A game operation server that provides game content that is used to kill alone or with other users; And it is installed in one or more affiliate terminals, designates the appearance time and location of the AI character according to the affiliate's input, presents the user's online and offline activities, selects rewards to be provided according to the online and offline activities, and selects the user's on-line and offline activities. Including an affiliate application for registering a product or service to be provided to, and the game operation server is located in each region through an information and communication network, in conjunction with the user application running on a user terminal and the affiliate application of the affiliate terminal, a communication unit for performing data communication by identifying a user application and an affiliate application, and determining whether the user is a member of an affiliate company; a character management unit that generates a user character according to the request of the user application, provides a result of determining the user's tendency to the user application, and reflects the experience value according to the result of the determination of the tendency and the game progress to the status of the user character;an activity collection unit that collects on-line and off-line activity information of the user provided by the affiliate terminal or the game operation server in real time; a test management unit that analyzes and stores the user's propensity in response to the user's activity information collected by the activity collection unit, selects one or more propensity determination contents for collecting additional data, and provides the selected contents to the user application; and defining one or more game zones in each region based on the current location of one or more currently accessed user terminals or a location designated by the user terminal, and participating one or more user characters and AI characters in the game zone according to the request of the user application. and a game providing unit that proceeds with the game, and the test management unit, when two or more user applications are running, when two users set an alliance, determine the same or sequentially different propensities for the two user applications in which the alliance is set. A user-participatory metaverse game system that can provide content and, when the propensity analysis is completed, enable each user who participated in the propensity determination content to share the result with each other through a user application.
delete
According to claim 1, wherein the user application, Server connection unit for performing data communication by accessing the game operating server;an on/offline activity unit designated by the affiliate application or reflecting the one or more on/offline activity details to the game content;a game participation unit for participating in the game content using the user character, requesting other users located nearby to participate in the game, or participating in another user's game; and a game manipulation unit that receives a user's manipulation on the screen of the user terminal and reflects the game in progress.
According to claim 1, wherein the affiliate application, Server connection unit for performing data communication by accessing the game operation server;An information input unit for specifying when and where the AI character will appear in the game operation server, or presenting an on/offline activity to be performed by the user, and inputting a reward to be provided to the user according to the on/offline activity;a reward providing unit that records when and what kind of reward is provided to the user and processes it according to the record; and a sales input unit for inputting types and prices of goods and services to be provided to users in the game operation server.
delete
The user participation type metaverse game system according to claim 1, wherein the character manager increases or decreases the status value of the user character according to at least one of the activity information and the treatment result of the AI character in the game content..
According to claim 1, wherein the character management unit, based on the user's picture registered in the user information to change the appearance of the user character, user participation type metaverse game system.
The method of claim 1, wherein the character management unit adds an item designated for the product or service to an appearance of the user character when the user purchases a product or service from an associated affiliate online or offline, or A user-participating metaverse game system that increases or decreases the value of the status.
The method according to claim 8, wherein the product includes sound source content, and the character management unit plays sound source content purchased during a game in conjunction with the game providing unit according to a user's setting, but the sound source content is higher than the standard In the case of a fast beat, the attack power and defense power of the status on the game content are increased, and when the sound source content is a bit later than the mood, the detection power and healing power of the status are increased, a user participation type metaverse game system.
The method of claim 8, wherein the service includes registration of a convenience facility including a gym, and the character management unit, when the user terminal enters the convenience facility, the appearance of the user character according to the user's convenience facility usage details Or to change the status, a user-participating metaverse game system.
The method of claim 8, wherein the character management unit, the health information measured from a health care device including a smart band interlocking with the user terminal is transmitted, or health information according to the user's health checkup from a partner terminal operated by a medical institution When transmitted, the user participation type metaverse game system to change the appearance or status of the user character according to the health information.
The method of claim 1, wherein the character management unit, when the affiliate is a government agency including at least one of a government tourism authority and a local government, when the user fulfills the requirements presented by the government agency, digitizes the implementation details It is reflected in the status of the character, and the requirement is a task to upload SNS photos, solve quizzes, or perform QR code authentication on any one of the characters, symbols, and places that the government and local governments want to promote, from the user terminal. A participatory metaverse game system.
The method of claim 1, wherein the character management unit is configured to sell to the user one or more auxiliary characters specialized for specific functions in addition to user characters provided to the user by default, and provide registration and management functions to the user, wherein the auxiliary characters, A user-participating metaverse game system including one or more of a medic character that affects the resilience status of general characters and allied characters, an observation character that affects perception, and a bulletproof character that affects defense.
The method of claim 1, wherein the activity information includes at least one of product or service purchase performed by the user through a server operated by the affiliate company, use of an affiliate platform, watching an advertisement, solving a problem, writing a comment, writing a review, and writing. A user-participating metaverse game system that includes.
The method of claim 1, wherein the propensity determination content is a user participation type meta including one or more of MBTI, IQ, EQ, MQ, SQ, CQ, AQ, PQ, GQ, DQ, NQ, HQ, FQ, and psychological test. Bus game system.
16. The method of claim 15, wherein the tendency determination content is provided by AI analysis according to user selection and activity for multiple choice, determination in a given game situation, and bulletin board posts by field, and the result of the tendency determination content is the user's character A user-participating metaverse game system that increases/decreases the status of the user and uses the accumulated data to identify the user's propensity and characteristics.
The method of claim 1, wherein the game operation server further comprises a reserve money management unit generating a reserve money according to at least one of the activity information and a treatment result of an AI character in the game content and paying the user, the reserve money, A user-participating metaverse game system that is used to purchase game-related items, uses the reserve money to purchase products and services in the metaverse game, or uses the reserve money for payment at one or more affiliated stores.
18. The method of claim 17, wherein the game operation server is further connected to a payment system, and the reserve management unit, when the usage information according to the user of the game-related payment method operated in the payment system is notified, the payment by the payment method is A user-participating metaverse game system that receives digital content and delivers it to the user application.
The method of claim 1, wherein the game providing unit further provides auxiliary characters other than the character to the user in conjunction with the character management unit, wherein the auxiliary characters are used to control the increase or decrease in the status of characters of a user currently participating in a game and other users. A user-participating metaverse game system that has a temporary effect.
2. The method of claim 1, wherein the game operation server further includes a bulletin board management unit that grants permission to post on bulletin boards for each field only when at least one of the activity information, the propensity determination content, and participation in the game content is above a predetermined level. A user-participatory metaverse game system that
The method of claim 20, wherein the bulletin board management unit sets a ranking for a plurality of postings published on a weekly or monthly basis, and provides a reserve fund or an item usable in game content to a user who wrote a posting according to the ranking., a user-participating metaverse game system.
The method of claim 20, wherein the bulletin board management unit analyzes and digitizes the user's activity including reading or commenting on the bulletin board using a machine learning-based learning model, and converts the numerical value quantified by the bulletin board management unit into a character. A user-participating metaverse game system that works with the management unit to reflect the increase or decrease of a character's status.
The method of claim 1, wherein the game operation server registers at least one affiliate information applied to a user character according to a request of the affiliate terminal, and rewards the user when the user subscribes to the affiliate information and satisfies a set condition. A user-participating metaverse game system that further includes an affiliate register that provides
The method of claim 1, wherein the test management unit randomly extracts one or more of the propensity determination contents belonging to the same category from among the propensity determination contents stored in the database when the user selects a category, or randomly extracts one or more of all propensity determination contents, At the request of the affiliated terminal, one or more of the classified propensity judgment contents are extracted, or one or more of the entire propensity judgment contents is randomly extracted in response to the user's propensity or the status value of the character to form a problem and determine the propensity A user-participatory metaverse game system that performs a test, but checks whether each problem is provided to the user in duplicate and provides only the first problem provided to the user terminal as propensity determination content.
delete
The user-participatory metaverse game system according to claim 1, wherein the test management unit transmits the content for determining the propensity selected by one of the two or more user applications for which the alliance is established to the remaining user applications.
The method of claim 1, wherein the game providing unit, when any one user application is executed outdoors, displays characters of all other users located in the same game zone, including its own character, along with character information on the corresponding user application; The user participation type metaverse game system in which the user selects one or more characters displayed on the user terminal and requests participation to proceed with the game together.
According to claim 1, wherein the game providing unit, if two or more user terminals are adjacent to each other by a certain distance or more, through the user application of the two user terminals to output vibration, sound, or other notifications, user participation type metaverse game system.
The method of claim 1, wherein the game providing unit outputs a vibration, sound or other notification through a user application if the AI character in the game content is adjacent to the current position when the user moves in the game zone, but in a direction adjacent to the AI character. A user-participatory metaverse game system that outputs vibrations, sounds, or other notifications in different forms.
The method of claim 29, wherein the AI character approaches the user's current location by jumping from the ground on the screen of the user terminal, and the game providing unit supports a plurality of attack methods according to the type of the user terminal, The plurality of attack methods include, when the user terminal is a smartphone, an attack method of touching an AI character approaching the augmented user character on the screen, or moving a smartphone to aim the AI character and press an attack button;When the user terminal is a desktop or a laptop computer, an attack method of pressing a button after aiming at an AI character by manipulating a mouse;When the user terminal is a VR device or a HoloLens device, an attack method against an AI character by scroller manipulation or motion recognition; and when the user terminal is smart glasses or smart lenses, aiming at the AI character with the user's focus and attacking by blinking the user's eyes.
The method of claim 30, wherein the AI character moves in any direction, including jumping, up, down, left, and right on the screen of the user terminal to approach the user's current location, and the game providing unit comprises: When entering the zone, attacking the user character reduces the user character's status value, and when the AI character enters the user character's safe zone. The user participation type metaverse game system, which limits the attack of the AI character by the user terminal, and switches to enable the attack when the user moves and the AI character is located outside the safe area of the user character.
The user participation type metaverse game system according to claim 1, wherein the game providing unit increases or decreases the status of a character on game contents in response to current air pollution level information of a real place corresponding to a game zone provided from an external system..
The method of claim 1, wherein the game operating server further includes a payment system unit connected to the payment system, processing user's payment request and use, distributively storing payment records, and examining whether the payment records are contaminated. A user-participatory metaverse game system that
The method of claim 33, wherein the payment method of the payment system is any one of in-app payment, digital currency, cryptocurrency, account transfer through a bank, credit card, VAN, PG, simple payment and gift certificate, user participation type Metaverse game system.
The metaverse game system of claim 1, wherein the user application augments the character so as to be adjacent to or overlaps with the subject when the camera function is executed in the user terminal, and displays and shoots the character.</t>
  </si>
  <si>
    <t>$16062</t>
  </si>
  <si>
    <t>20 years from 2021-07-08 (file date)</t>
  </si>
  <si>
    <t>https://patentscout.innography.com/share/vPgB1sgUnURg5EEVv6N_Lw%3D%3D</t>
  </si>
  <si>
    <t>https://patentscout.innography.com/share/vPgB1sgUnURg5EEVv6N_Lw%3D%3D/download</t>
  </si>
  <si>
    <t>https://v3.espacenet.com/publicationDetails/biblio?CC=KR&amp;NR=102471738B1&amp;KC=B1&amp;FT=D&amp;date=20221129&amp;DB=EPODOC&amp;locale=</t>
  </si>
  <si>
    <t>1.  A user application that is installed in one or more user terminals and participates in the game by growing the user character by reflecting the user's on and off-line activity history related to the game performed using the user character generated according to the user's input to the game;In conjunction with the user application, the user character and AI character are created according to the request of the user application, the user's propensity determination result obtained by collecting and analyzing the user's activity information is reflected in the status of the character, and one or more Selects and provides propensity judgment content to each user, and provides AI characters that are graphically displayed in response to the location designated by the user on the online map or augmented AI characters corresponding to each user's current offline location. A game operation server that provides game content that is used to kill alone or with other users; And it is installed in one or more affiliate terminals, designates the appearance time and location of the AI character according to the affiliate's input, presents the user's online and offline activities, selects rewards to be provided according to the online and offline activities, and selects the user's on-line and offline activities. Including an affiliate application for registering a product or service to be provided to, and the game operation server is located in each region through an information and communication network, in conjunction with the user application running on a user terminal and the affiliate application of the affiliate terminal, a communication unit for performing data communication by identifying a user application and an affiliate application, and determining whether the user is a member of an affiliate company; a character management unit that generates a user character according to the request of the user application, provides a result of determining the user's tendency to the user application, and reflects the experience value according to the result of the determination of the tendency and the game progress to the status of the user character;an activity collection unit that collects on-line and off-line activity information of the user provided by the affiliate terminal or the game operation server in real time; a test management unit that analyzes and stores the user's propensity in response to the user's activity information collected by the activity collection unit, selects one or more propensity determination contents for collecting additional data, and provides the selected contents to the user application; and defining one or more game zones in each region based on the current location of one or more currently accessed user terminals or a location designated by the user terminal, and participating one or more user characters and AI characters in the game zone according to the request of the user application. and a game providing unit that proceeds with the game, and the test management unit, when two or more user applications are running, when two users set an alliance, determine the same or sequentially different propensities for the two user applications in which the alliance is set. A user-participatory metaverse game system that can provide content and, when the propensity analysis is completed, enable each user who participated in the propensity determination content to share the result with each other through a user application.</t>
  </si>
  <si>
    <t>25.  delete</t>
  </si>
  <si>
    <t>US6119229 A | US7512548 B1 | US20060178966 A1 | US20070282695 A1</t>
  </si>
  <si>
    <t>US10981069 B2 | US11413536 B2</t>
  </si>
  <si>
    <t>2018-04-19</t>
  </si>
  <si>
    <t>2021-04-20</t>
  </si>
  <si>
    <t>2017-10-05</t>
  </si>
  <si>
    <t>US15/725607</t>
  </si>
  <si>
    <t xml:space="preserve">A system for determining copying of objects in a Metaverse, the system comprising a server computer in communication with one or more client computers, the server computer configured to:
store information about at least some of the objects in the Metaverse, wherein the information comprises at least a unique ID and authenticity data corresponding to at least some of the objects in the Metaverse;
process a copying request from the one or more client computers, wherein the copying request corresponds to one object of the at least some of the objects in the Metaverse, wherein the copying request copies the one object to form a copied object, and wherein the copying request is processed by storing information corresponding to the copied object together with information corresponding to the one object;
process an inquiry request for the copied object from the one or more client computers; and
generate authenticity information corresponding to the copied object, wherein the authenticity information indicates the copying of the one object.
</t>
  </si>
  <si>
    <t>1. (canceled)
2. (canceled)
3. (canceled)
4. (canceled)
5. (canceled)
6. (canceled)
7. (canceled)
8. (canceled)
9. (canceled)
10. (canceled)
11. (canceled)
12. (canceled)
13. (canceled)
14. (canceled)
15. (canceled)
16. (canceled)
17. (canceled)
18. (canceled)
19. (canceled)
20. (canceled)
21. A system for determining copying of objects in a Metaverse, the system comprising a server computer in communication with one or more client computers, the server computer configured to:
store information about at least some of the objects in the Metaverse, wherein the information comprises at least a unique ID and authenticity data corresponding to at least some of the objects in the Metaverse;
process a copying request from the one or more client computers, wherein the copying request corresponds to one object of the at least some of the objects in the Metaverse, wherein the copying request copies the one object to form a copied object, and wherein the copying request is processed by storing information corresponding to the copied object together with information corresponding to the one object;
process an inquiry request for the copied object from the one or more client computers; and
generate authenticity information corresponding to the copied object, wherein the authenticity information indicates the copying of the one object.
22. The system of claim 21, wherein, upon receiving the inquiry request for the copied object, the server computer is configured to communicate via the one or more client computers with an owner of the one object being copied.
23. The system of claim 21, wherein the one or more client computers comprises a first client computer, a second client computer, and a third client computer, wherein the one object is owned by a first user corresponding to the first client computer and a first avatar of the Metaverse, wherein the copying request is received from the second client computer corresponding to a second user and a second avatar of the Metaverse, and wherein the request for the copied object is received from the third client computer corresponding to a third user and a third avatar of the Metaverse.
24. The system of claim 21, wherein processing the copying request corresponding to the one object further comprises creating a unique object ID for the copied object and storing the unique object ID for the copied object together with a unique object ID of the one object.
25. The system of claim 21, wherein the information about at least some of the objects in the Metaverse further comprises an expiration time of the authenticity data and a history of at least any one of a creation, a copying, a modification and a transfer of at least some of the objects in the Metaverse.
26. The system of claim 21, wherein the one object is an accessory object for an avatar in the Metaverse and wherein the authenticity data further comprises manager information specifying a manager of a brand of the accessory object, a brand name indicating a name of the brand, and logo data indicating a logo of the brand.
27. The system of claim 21, wherein the one object is an employee badge object of an avatar in the Metaverse and wherein the authenticity data further comprises owner information specifying an owner of the employee badge object, data indicating a name of a company, and logo data indicating a logo of the company.
28. The system of claim 21, wherein the one object is a ticket having an expiration time in the Metaverse and wherein information corresponding to the one object comprises time period data indicating an expiration time of authenticity information.
29. A computer-implemented method of determining copying of an object in a Metaverse, the method being implemented in a computer system having one or more physical processors programmed with computer program instructions that, when executed by the one or more physical processors, cause the computer system to perform the method, the method comprising:
using the computer system, storing information corresponding to each object in the Metaverse wherein the information comprises at least a unique object ID and authenticity data;
using the computer system, processing a copying request from one or more client computers to copy an object in the Metaverse by storing information for the copied object, wherein the information for the copied object comprises at least a unique object ID and authenticity information indicative of the copying of the object; and
using the computer system, processing a request for the copied object from the one or more client computers by using the unique object ID of the copied object and returning the authenticity information indicative of the copying of the object.
30. The method of claim 29, wherein the computer program instructions, when executed, further cause the computer system to communicate with an owner of the copied object upon receiving a request for the copied object and to convey the request for the copied object to the owner.
31. The method of claim 29, wherein processing the copying request further comprises creating a unique object ID for the copied object and storing the unique object ID for the copied object along with a unique ID of the object.
32. The method of claim 29, wherein the information corresponding to each object in the Metaverse further comprises an expiration time of the authenticity data and a history of at least any one of a creation, a copying, a modification and a transfer of the object.
33. The method of claim 29, wherein the object is an accessory object for an avatar in the Metaverse and wherein the authenticity data of the object further comprises manager information specifying a manager of a brand of the accessory object, a name indicating a name of the brand, and logo data indicating a logo of the brand.
34. The method of claim 29, wherein the object is an employee badge object of an avatar in the Metaverse, wherein the authenticity data further comprises owner information specifying an owner of the employee badge object, a company name indicating a name of the company, and logo data indicating a logo of the company.
35. The method of claim 29, wherein the object is a ticket having an expiration time and wherein the information corresponding to each object in the Metaverse comprises time period information indicating an expiration time of the authenticity data.
36. A computer program product for determining copying of an object in a Metaverse, computer program product comprising:
one or more tangible, non-transitory computer readable storage devices;
program instructions, stored on at least one the one or more tangible, non-transitory computer readable storage devices that, when executed, cause a computer to:
store information corresponding to the object, wherein the information comprises at least a unique object ID and authenticity information;
process a copying request corresponding to the object, from one or more of the client computers, by storing copied object information comprising at least a unique object ID and authenticity data indicative of a copying of the object; and
process a request for the copied object from one or more of the client computers by using the unique object ID of the copied object and returning the corresponding authenticity data indicative of a copying of the object.
37. The computer program product of claim 36, wherein the program instructions when executed, further cause the computer to communicate, via one or more client computers and upon receiving a request for the copied object, with an owner of the object being copied and conveying the request to the owner.
38. The computer program product of claim 36, wherein the object is an accessory object for an avatar, wherein the authenticity data of the object further comprises manager information specifying a manager of a brand of the accessory object, a name indicating a name of the brand, and logo data indicating a logo of the brand.
39. The computer program product of claim 36, wherein the object is an employee badge object of an avatar, wherein the authenticity data further comprises owner information specifying an owner of the employee badge object, a company name, and logo data.
40. The computer program product of claim 36, wherein the object is a ticket having an expiration time and wherein the information comprises time period information indicating an expiration time of the authenticity data.</t>
  </si>
  <si>
    <t>US10981069 B2</t>
  </si>
  <si>
    <t>A63F01375000</t>
  </si>
  <si>
    <t>A63F01375000 | A63F01371000 | G06F02160000 | G06F02162000 | G06F02164000 | G06N00300000 | G06Q03006000 | G06Q05000000 | G06T00100000</t>
  </si>
  <si>
    <t>I-000165180067</t>
  </si>
  <si>
    <t>Application expired due to grant (US10981069 B2)</t>
  </si>
  <si>
    <t>https://patentscout.innography.com/share/69iapv5gnWlJB5d3qLYnNg%3D%3D</t>
  </si>
  <si>
    <t>2009-03-18-ASSIGNMENT (INTERNATIONAL BUSINESS MACHINES CORPORATION)|2012-12-31-ASSIGNMENT (ACTIVISION PUBLISHING, INC.)|2017-10-05-FEE PAYMENT PROCEDURE|2018-05-07-INFORMATION ON STATUS: PATENT APPLICATION AND GRANTING PROCEDURE IN GENERAL|2020-02-19-INFORMATION ON STATUS: PATENT APPLICATION AND GRANTING PROCEDURE IN GENERAL|2020-04-27-INFORMATION ON STATUS: PATENT APPLICATION AND GRANTING PROCEDURE IN GENERAL|2020-08-18-INFORMATION ON STATUS: APPLICATION DISCONTINUATION|2020-11-19-INFORMATION ON STATUS: PATENT APPLICATION AND GRANTING PROCEDURE IN GENERAL|2020-12-15-INFORMATION ON STATUS: PATENT APPLICATION AND GRANTING PROCEDURE IN GENERAL|2021-03-17-INFORMATION ON STATUS: PATENT APPLICATION AND GRANTING PROCEDURE IN GENERAL|2021-03-18-INFORMATION ON STATUS: PATENT APPLICATION AND GRANTING PROCEDURE IN GENERAL|2021-03-31-INFORMATION ON STATUS: PATENT GRANT</t>
  </si>
  <si>
    <t>https://patentscout.innography.com/share/69iapv5gnWlJB5d3qLYnNg%3D%3D/download</t>
  </si>
  <si>
    <t>https://ppubs.uspto.gov/pubwebapp/external.html?q=20180104595.pn.</t>
  </si>
  <si>
    <t>US20180104595 A1</t>
  </si>
  <si>
    <t>103 | US08/834027 | CTFR
103 | US08/834027 | CTNF
103 | US11/441789 | CTNF
103 | US11/745227 | CTFR
103 | US12/037532 | CTFR</t>
  </si>
  <si>
    <t>HANGER SOLUTIONS, LLC
HANGER SOLUTIONS, LLC
Unassigned
Unassigned
Unassigned</t>
  </si>
  <si>
    <t>2020-08-20</t>
  </si>
  <si>
    <t>2020-02-21</t>
  </si>
  <si>
    <t>1. (canceled)</t>
  </si>
  <si>
    <t>2. (canceled)</t>
  </si>
  <si>
    <t>3. (canceled)</t>
  </si>
  <si>
    <t>4. (canceled)</t>
  </si>
  <si>
    <t>5. (canceled)</t>
  </si>
  <si>
    <t>6. (canceled)</t>
  </si>
  <si>
    <t>7. (canceled)</t>
  </si>
  <si>
    <t>8. (canceled)</t>
  </si>
  <si>
    <t>9. (canceled)</t>
  </si>
  <si>
    <t>10. (canceled)</t>
  </si>
  <si>
    <t>11. (canceled)</t>
  </si>
  <si>
    <t>12. (canceled)</t>
  </si>
  <si>
    <t>13. (canceled)</t>
  </si>
  <si>
    <t>14. (canceled)</t>
  </si>
  <si>
    <t>15. (canceled)</t>
  </si>
  <si>
    <t>16. (canceled)</t>
  </si>
  <si>
    <t>17. (canceled)</t>
  </si>
  <si>
    <t>18. (canceled)</t>
  </si>
  <si>
    <t>19. (canceled)</t>
  </si>
  <si>
    <t>20. (canceled)</t>
  </si>
  <si>
    <t>21. A system for determining copying of objects in a Metaverse, the system comprising a server computer in communication with one or more client computers, the server computer configured to:
store information about at least some of the objects in the Metaverse, wherein the information comprises at least a unique ID and authenticity data corresponding to at least some of the objects in the Metaverse;
process a copying request from the one or more client computers, wherein the copying request corresponds to one object of the at least some of the objects in the Metaverse, wherein the copying request copies the one object to form a copied object, and wherein the copying request is processed by storing information corresponding to the copied object together with information corresponding to the one object;
process an inquiry request for the copied object from the one or more client computers; and
generate authenticity information corresponding to the copied object, wherein the authenticity information indicates the copying of the one object.</t>
  </si>
  <si>
    <t>29. A computer-implemented method of determining copying of an object in a Metaverse, the method being implemented in a computer system having one or more physical processors programmed with computer program instructions that, when executed by the one or more physical processors, cause the computer system to perform the method, the method comprising:
using the computer system, storing information corresponding to each object in the Metaverse wherein the information comprises at least a unique object ID and authenticity data;
using the computer system, processing a copying request from one or more client computers to copy an object in the Metaverse by storing information for the copied object, wherein the information for the copied object comprises at least a unique object ID and authenticity information indicative of the copying of the object; and
using the computer system, processing a request for the copied object from the one or more client computers by using the unique object ID of the copied object and returning the authenticity information indicative of the copying of the object.</t>
  </si>
  <si>
    <t>36. A computer program product for determining copying of an object in a Metaverse, computer program product comprising:
one or more tangible, non-transitory computer readable storage devices;
program instructions, stored on at least one the one or more tangible, non-transitory computer readable storage devices that, when executed, cause a computer to:
store information corresponding to the object, wherein the information comprises at least a unique object ID and authenticity information;
process a copying request corresponding to the object, from one or more of the client computers, by storing copied object information comprising at least a unique object ID and authenticity data indicative of a copying of the object; and
process a request for the copied object from one or more of the client computers by using the unique object ID of the copied object and returning the corresponding authenticity data indicative of a copying of the object.</t>
  </si>
  <si>
    <t>KR20050082860 A | KR100912264 B1 | KR20120003588 A</t>
  </si>
  <si>
    <t>2021-10-26</t>
  </si>
  <si>
    <t>The present invention relates to a metaverse implementation system using biometric data. The metaverse implementation system includes a biometric data collection module that collects first biometric data of a first user and a metaverse implementation module that implements a metaverse using implementation reference information wherein the metaverse implementation module includes: A first metaverse is implemented using the implementation reference information included in the first user information of a user the first biometric data is provided from the biometric data collection module and the implementation is performed based on the first biometric data The reference information is corrected and the second metaverse is implemented using the corrected implementation reference information.</t>
  </si>
  <si>
    <t>System and method for implementing metaverse using biometric data</t>
  </si>
  <si>
    <t>KR20210115961A</t>
  </si>
  <si>
    <t>a metaverse implementation module that implements the metaverse using implementation reference information;Determine a plurality of virtual objects associated with metaverse background information included in the implementation reference information, extract a feature vector for a first object and a feature vector for the plurality of virtual objects, and a feature vector for the first object and a degree of similarity of a feature vector with respect to the plurality of virtual objects is determined, and a virtual object having the highest similarity among the degrees of similarity between the first object and each of the feature vectors of the plurality of virtual objects is determined as a first virtual object, an object expansion module that projects the first virtual object to a position where the first object is disposed;and a biometric data collection module configured to collect first biometric data of a first user, wherein the metaverse implementation module generates a first metaverse using implementation reference information included in the first user information of the first user. implement, receive the first biometric data from the biometric data collection module, correct the implementation reference information based on the first biometric data, and implement a second metaverse using the corrected implementation reference information The implementation reference information and the corrected implementation reference information are, respectively, control information on shaking of a first-person view screen, information on movement of a metaverse character, information on the appearance of a metaverse character, and difficulty in manipulating the metaverse character. information about and information about the ability of a metaverse character, wherein the metaverse implementation module includes a pre-learned deep learning module, and the metaverse implementation module corrects the implementation reference information,Providing the first user information and the first biometric data to the deep learning module, and using the output of the deep learning module to generate a correction value of the implementation reference information Metaverse implementation system.</t>
  </si>
  <si>
    <t>a metaverse implementation module that implements the metaverse using implementation reference information;Determine a plurality of virtual objects associated with metaverse background information included in the implementation reference information, extract a feature vector for a first object and a feature vector for the plurality of virtual objects, and a feature vector for the first object and a degree of similarity of a feature vector with respect to the plurality of virtual objects is determined, and a virtual object having the highest similarity among the degrees of similarity between the first object and each of the feature vectors of the plurality of virtual objects is determined as a first virtual object, an object expansion module that projects the first virtual object to a position where the first object is disposed;
and a biometric data collection module configured to collect first biometric data of a first user, wherein the metaverse implementation module generates a first metaverse using implementation reference information included in the first user information of the first user. implement, receive the first biometric data from the biometric data collection module, correct the implementation reference information based on the first biometric data, and implement a second metaverse using the corrected implementation reference information The implementation reference information and the corrected implementation reference information are, respectively, control information on shaking of a first-person view screen, information on movement of a metaverse character, information on the appearance of a metaverse character, and difficulty in manipulating the metaverse character. information about and information about the ability of a metaverse character, wherein the metaverse implementation module includes a pre-learned deep learning module, and the metaverse implementation module corrects the implementation reference information,
Providing the first user information and the first biometric data to the deep learning module, and using the output of the deep learning module to generate a correction value of the implementation reference information Metaverse implementation system.
The system of claim 1 , wherein the first biometric data includes heart rate data of the first user.
delete
delete
delete
delete
The apparatus of claim 1, further comprising: a user information management server for storing user information; and a user identification module for identifying a user, wherein the user identification module provides identification information of the first user to the user information management server, and the user information management server uses the identification information of the first user to generate the first user information, and provide the first user information to the metaverse implementation module.
delete
According to claim 1, wherein the deep learning module, when the first user information and the first biometric data are input, output a first correction value, the second user information different from the first user information and the first When biometric data is input, the metaverse implementation system outputs a second correction value different from the first correction value.
delete</t>
  </si>
  <si>
    <t>G06T0019000000</t>
  </si>
  <si>
    <t>G06T01900000</t>
  </si>
  <si>
    <t>G06T01900000 | G06N02000000 | G06T01340000</t>
  </si>
  <si>
    <t>KR102317223B1</t>
  </si>
  <si>
    <t>KR102317223 B1</t>
  </si>
  <si>
    <t>I-000217025609</t>
  </si>
  <si>
    <t>https://patentscout.innography.com/share/wTv4Qq41X9JLHBnrhoKf1w%3D%3D</t>
  </si>
  <si>
    <t>2021-08-31-REQUEST FOR ACCELERATED EXAMINATION|2021-10-18-DECISION TO GRANT OR REGISTRATION OF PATENT RIGHT|2021-10-19-WRITTEN DECISION TO GRANT</t>
  </si>
  <si>
    <t>https://patentscout.innography.com/share/wTv4Qq41X9JLHBnrhoKf1w%3D%3D/download</t>
  </si>
  <si>
    <t>https://v3.espacenet.com/publicationDetails/biblio?CC=KR&amp;NR=102317223B1&amp;KC=B1&amp;FT=D&amp;date=20211026&amp;DB=EPODOC&amp;locale=</t>
  </si>
  <si>
    <t>KR20102317223 B1</t>
  </si>
  <si>
    <t>1.  a metaverse implementation module that implements the metaverse using implementation reference information;Determine a plurality of virtual objects associated with metaverse background information included in the implementation reference information, extract a feature vector for a first object and a feature vector for the plurality of virtual objects, and a feature vector for the first object and a degree of similarity of a feature vector with respect to the plurality of virtual objects is determined, and a virtual object having the highest similarity among the degrees of similarity between the first object and each of the feature vectors of the plurality of virtual objects is determined as a first virtual object, an object expansion module that projects the first virtual object to a position where the first object is disposed;
and a biometric data collection module configured to collect first biometric data of a first user, wherein the metaverse implementation module generates a first metaverse using implementation reference information included in the first user information of the first user. implement, receive the first biometric data from the biometric data collection module, correct the implementation reference information based on the first biometric data, and implement a second metaverse using the corrected implementation reference information The implementation reference information and the corrected implementation reference information are, respectively, control information on shaking of a first-person view screen, information on movement of a metaverse character, information on the appearance of a metaverse character, and difficulty in manipulating the metaverse character. information about and information about the ability of a metaverse character, wherein the metaverse implementation module includes a pre-learned deep learning module, and the metaverse implementation module corrects the implementation reference information,
Providing the first user information and the first biometric data to the deep learning module, and using the output of the deep learning module to generate a correction value of the implementation reference information Metaverse implementation system.</t>
  </si>
  <si>
    <t>KR20040096799 A | KR101983496 B1 | KR102341866 B1 | KR20210073428 A | KR20210078813 A | KR20210101608 A</t>
  </si>
  <si>
    <t>2022-11-22</t>
  </si>
  <si>
    <t>2022-06-30</t>
  </si>
  <si>
    <t>2042-06-30</t>
  </si>
  <si>
    <t>A metaverse character production system and method considering physical information of interactive objects are provided. The metaverse character production system according to the embodiment is a metaverse character production system that produces a metaverse character that interacts with virtual objects in the virtual world by sensing the movement of a user interacting with real objects and the movement of the real object. a motion capture device generating motion data; a data processing module configured to generate correction information based on the physical information of the real object and the physical information of the virtual object and correct the motion data according to the correction information to generate motion correction data; Based on the motion correction data a metaverse character implementation module for generating the metaverse character and implementing the movement of the generated metaverse character; and a database configured to provide physical information of the real object and physical information of the virtual object to the data processing module.</t>
  </si>
  <si>
    <t>Metaverse character making system and method for using biometric information</t>
  </si>
  <si>
    <t>Afun Interactive Inc.</t>
  </si>
  <si>
    <t>AFUN Interactive Inc.</t>
  </si>
  <si>
    <t>KR20220080732A</t>
  </si>
  <si>
    <t>A metaverse character production system for producing a metaverse character that interacts with virtual objects in a virtual world, a motion capture device for generating motion data by sensing the movement of a user interacting with a real object and the motion of the real object;Correction information is generated based on a difference between the physical information of the real object and the physical information of the virtual object implemented in the virtual world based on the motion of the real object, and the motion data is corrected according to the correction information. a data processing module generating motion compensation data; Based on the motion correction data, a metaverse character implementation module for generating the metaverse character and implementing the movement of the generated metaverse character; and a database configured to provide the physical information of the real object and the physical information of the virtual object to the data processing module.</t>
  </si>
  <si>
    <t>A metaverse character production system for producing a metaverse character that interacts with virtual objects in a virtual world, a motion capture device for generating motion data by sensing the movement of a user interacting with a real object and the motion of the real object;Correction information is generated based on a difference between the physical information of the real object and the physical information of the virtual object implemented in the virtual world based on the motion of the real object, and the motion data is corrected according to the correction information. a data processing module generating motion compensation data; Based on the motion correction data, a metaverse character implementation module for generating the metaverse character and implementing the movement of the generated metaverse character; and a database configured to provide the physical information of the real object and the physical information of the virtual object to the data processing module.
The apparatus of claim 1, wherein the data processing module comprises: an interaction information generation unit configured to generate interaction information indicating a motion change according to an interaction between the user and the real object based on the motion data; and comparing the physical information of the real object with the physical information of the virtual object, generating a correction item and a correction value of each correction item as the correction information, correcting motion data based on the correction information and the interaction information, Metaverse character production system including a motion compensation data generating unit for generating the motion compensation data.
The method of claim 2, wherein the motion data is data obtained by sensing motions of a user and a real object that change during a specific time interval, and a user point corresponding to a marker attached to the user and a marker attached to the real object object points, and the interaction information generation unit identifies at least one of a user point and an object point whose position changes according to the interaction between the user and the real object, defines it as a point to be corrected, and generates the motion compensation data The part is a metaverse character creation system that corrects the position of the correction target point based on the correction information.
4. The method of claim 3, wherein the motion compensation data generation unit compares internal property information among physical information of the real object with internal property information among physical information of the virtual object to determine the correction item and a correction value of each correction item. a correction information generating unit; and a motion data correction unit for adjusting the position of the point to be corrected according to the correction item and the correction value of each correction item.
The apparatus of claim 2, wherein the database comprises: an object information library including object information corresponding to each of a plurality of objects; and a character information library including character information for setting each of a plurality of characters, wherein the object information includes real object information and virtual object information, the real object information includes physical information of the real object,, The virtual object information is a metaverse character creation system including physical information of the virtual object.
The method of claim 5, wherein the data processing module receives virtual object information and character information from the database, generates virtual object presentation data based on the virtual object information, and generates character presentation data based on the character information. A metaverse character creation system further comprising a character directing data generating unit to generate, wherein the character directing data generating unit further considers external property information of the virtual object information to generate the virtual object directing data and the character directing data.
7. The apparatus of claim 6, further comprising: a skeleton generating module receiving the motion compensation data and generating character skeleton data and virtual object skeleton data using the motion compensation data;Receiving the character skeleton data and the virtual object skeleton data, generating character rigging data by rigging the character skeleton data to an image of a metaverse character, and rigging the virtual object skeleton data to an image of a virtual object, Further comprising a retarget module for generating rigging data, the metaverse character implementation module generates the metaverse character by performing rendering based on the character rigging data, the character directing data and character information, and the metaverse The character implementation module metaverse character creation system for generating the virtual object by performing rendering based on the virtual object rigging data, the virtual object directing data, and the virtual object information.
The method of claim 2, further comprising an image generating device generating image data obtained by photographing motions of a user interacting with the real object and motions of the real object, wherein the interaction information generating unit has a pre-learned image analysis model. further analyzes the image data to generate the interaction information, wherein the image analysis model identifies the user and the real object in the image data and tracks movements of the user and the real object in advance. Learned metaverse character creation system.
The method of claim 8, wherein the image analysis model is pre-learned to classify the type of real object identified in the image data, and the interaction information generation unit reads object information corresponding to the type of the identified real object from the database. A metaverse character creation system further configured to:
A method for producing a metaverse character performed in a content production system that creates a metaverse character that interacts with virtual objects in a virtual world, the method comprising:generating motion data by sensing a motion of a user interacting with a real object and a motion of the real object;Correction information is generated based on a difference between the physical information of the real object and the physical information of the virtual object implemented in the virtual world based on the motion of the real object, and the motion data is corrected according to the correction information. generating motion compensation data; And based on the motion correction data, generating the metaverse character and the virtual object and implementing the movement of the created metaverse character and virtual object, metaverse character production method.</t>
  </si>
  <si>
    <t>Kwon, Do Kwun|Yu, Han|Yang, Jeong Seok</t>
  </si>
  <si>
    <t>G06T0013400000</t>
  </si>
  <si>
    <t>G06T01340000</t>
  </si>
  <si>
    <t>G06T01340000 | G06F00301000 | G06Q05010000 | G06T00721500 | G06T01500000 | G06T01900000 | G06T01920000</t>
  </si>
  <si>
    <t>KR102469274B1</t>
  </si>
  <si>
    <t>I-000233025676</t>
  </si>
  <si>
    <t>20 years from 2022-06-30 (file date)</t>
  </si>
  <si>
    <t>https://patentscout.innography.com/share/PRRfgD7zpJobXSDbdUaPNA%3D%3D</t>
  </si>
  <si>
    <t>2022-11-14-DECISION TO GRANT OR REGISTRATION OF PATENT RIGHT|2022-11-16-WRITTEN DECISION TO GRANT</t>
  </si>
  <si>
    <t>https://patentscout.innography.com/share/PRRfgD7zpJobXSDbdUaPNA%3D%3D/download</t>
  </si>
  <si>
    <t>https://v3.espacenet.com/publicationDetails/biblio?CC=KR&amp;NR=102469274B1&amp;KC=B1&amp;FT=D&amp;date=20221122&amp;DB=EPODOC&amp;locale=</t>
  </si>
  <si>
    <t>KR20102469274 B1</t>
  </si>
  <si>
    <t>1.  A metaverse character production system for producing a metaverse character that interacts with virtual objects in a virtual world, a motion capture device for generating motion data by sensing the movement of a user interacting with a real object and the motion of the real object;Correction information is generated based on a difference between the physical information of the real object and the physical information of the virtual object implemented in the virtual world based on the motion of the real object, and the motion data is corrected according to the correction information. a data processing module generating motion compensation data; Based on the motion correction data, a metaverse character implementation module for generating the metaverse character and implementing the movement of the generated metaverse character; and a database configured to provide the physical information of the real object and the physical information of the virtual object to the data processing module.</t>
  </si>
  <si>
    <t>10.  A method for producing a metaverse character performed in a content production system that creates a metaverse character that interacts with virtual objects in a virtual world, the method comprising:generating motion data by sensing a motion of a user interacting with a real object and a motion of the real object;Correction information is generated based on a difference between the physical information of the real object and the physical information of the virtual object implemented in the virtual world based on the motion of the real object, and the motion data is corrected according to the correction information. generating motion compensation data; And based on the motion correction data, generating the metaverse character and the virtual object and implementing the movement of the created metaverse character and virtual object, metaverse character production method.</t>
  </si>
  <si>
    <t>2021-09-02</t>
  </si>
  <si>
    <t>2021-03-16</t>
  </si>
  <si>
    <t>2029-03-06</t>
  </si>
  <si>
    <t>genuine|fake|client computer|server computer|object ID|authenticity information</t>
  </si>
  <si>
    <t>US17/202677</t>
  </si>
  <si>
    <t xml:space="preserve">A server computer connected to a plurality of client computers through a network, and which controls objects in a Metaverse accessed by the client computers, the server computer comprising:
a storage unit for storing an object ID specifying an object accessible in the Metaverse by the plurality of client computers and authenticity information associated with the object ID, the authenticity information indicating that the object is genuine;
a communication unit for communicating with each of the client computers; and
an enquiry unit for causing the communication unit to transmit said authenticity information corresponding to the object ID to at least one of the plurality of client computers upon receipt of an enquiry request to enquire about the object ID of the object from one of the plurality of client computers.
</t>
  </si>
  <si>
    <t>1. A server computer connected to a plurality of client computers through a network, and which controls objects in a Metaverse accessed by the client computers, the server computer comprising:
a storage unit for storing an object ID specifying an object accessible in the Metaverse by the plurality of client computers and authenticity information associated with the object ID, the authenticity information indicating that the object is genuine;
a communication unit for communicating with each of the client computers; and
an enquiry unit for causing the communication unit to transmit said authenticity information corresponding to the object ID to at least one of the plurality of client computers upon receipt of an enquiry request to enquire about the object ID of the object from one of the plurality of client computers.
2. The server computer according to claim 1, wherein first and second client computers of the plurality of client computers correspond to first and second avatars of the Metaverse,
the object is owned by the first avatar in the Metaverse,
the enquiry unit is configured to receive the enquiry request from the second client computer based on an enquiry made by the second avatar in the Metaverse with regards to the object, and
the enquiry unit is configured to cause the communication unit to transmit the authenticity information to the second client computer based on the enquiry request from the second client computer.
3. The server computer according to claim 2, wherein the authenticity information is associated with a third user corresponding to a third client computer of the plurality of client computers, and
the enquiry unit is configured to cause the communication unit to further transmit a notice to the third user based on the enquiry request from the second client computer.
4. The server computer according to claim 3, wherein the enquiry unit is configured to cause the communication unit to further transmit a notice to the third user based on determining that the storage unit does not include the authenticity information indicating that the object is genuine.
5. The server computer according to claim 1, wherein:
the object is an accessory object for avatars in the Metaverse;
the authenticity information further includes manager information specifying a manager of the brand of the accessory object, a brand name indicating the name of the brand, and logo data indicating the logo of the brand; and
the enquiry unit includes means for causing the communication unit to transmit to the client computer at least one of the manager information, the brand name and the logo data corresponding to the object ID based on receipt of an enquiry request including an object ID to enquire about the accessory object of the object ID from the at least one client computer.
6. The server computer according to claim 1, wherein:
the object is an employee badge object of an avatar in the Metaverse;
the authenticity information further includes owner information specifying an owner of the employee badge object, a company name indicating the name of the company, and logo data indicating the logo of the company; and
the enquiry unit includes means for causing the communication unit to transmit to the client computer at least one of the owner information, the company name and the logo data corresponding to the object ID based on receipt of an enquiry request for the employee badge object including a corresponding object ID from the at least one client computer.
7. The server computer according to claim 1, wherein:
the object is a ticket having the expiration time in the Metaverse,
the object information includes time period information indicating an expiration time of the authenticity information, and
the enquiry unit includes means for causing the communication unit to transmit authenticity information corresponding to the object ID to the at least one client computer based on receipt of an enquiry request including an object ID from the at least one client computer to enquire about the object client computer and based on a determination that the authenticity information has not yet expired.
8. The server computer according to claim 1, wherein the object information includes each of owner information specifying an owner of the object and manager information specifying a manager of the object.
9. The server computer according to claim 1, further comprising an update unit which copies an object upon receipt of a copying request including an object ID to copy the object of the object ID from the at least one client computer,
wherein authenticity information of the copied object is not stored in the storage unit.
10. The server computer according to claim 1, wherein:
the object information further includes owner information specifying an owner of the object; and
the server computer further comprises an update unit which changes the owner information from a first user to a second user upon receipt of a giving request including the object ID to give the object from the first user to the second user, wherein the giving request does not change the authenticity information.
11. The server computer according to claim 1, wherein the object is given from a first avatar to a second avatar in the Metaverse in which the first and second users log in as the first and second avatars through first and second client computers, respectively.
12. The server computer according to claim 1, wherein:
the object is an accessory object for avatars in the Metaverse; and
the authenticity information further includes manager information specifying a manager of a brand of the accessory object and a brand name indicating the name of the brand, and
the server computer further comprises: a registration unit for registering a user as a manager of the brand and the brand name as the name of the brand in the storage unit upon receipt of a brand registration request to register the user as the manager of the brand from one of the plurality of client computers upon determining that the same brand name is not already registered with another user assigned as the manager.
13. The server computer according to claim 12, wherein, upon receipt of an accessory object registration request to register a certain accessory object as a genuine object from one of the plurality of client computers, the registration unit registers a corresponding object ID and authenticity information in association with each other as object information in the storage unit upon determining that the user of the client computer is registered as the manager of the brand.
14. The server computer according to claim 1, wherein:
the object is an employee badge object of an avatar in the Metaverse, and
the authenticity information further includes owner information specifying an owner of the employee badge object and a company name indicating a name of the company, and
the server computer further comprises:
a registration unit configured to register in authenticity information a user as an owner of the employee badge object and the company name as the name of the company upon receipt of an employee badge registration request to register the user as the owner of a certain employee badge object from one of the plurality of client computers, upon determining that the same company name is not already registered with another user assigned as the owner.
15. The server computer according to claim 14, wherein, upon receipt of the employee badge object registration request to register the employee badge object as a genuine object, the registration unit registers a corresponding object ID and authenticity information in association with each other as object information, upon determining that the user is registered as the owner of the employee badge object.
16. A method comprising:
storing in a server computer an object ID specifying an object in a Metaverse accessible by a plurality of client computers and authenticity information associated with the object ID, the authenticity information indicating that the object is genuine;
receiving, by the server computer, from one of the plurality of client computers an enquiry request including the object ID to enquire about the object; and
transmitting, by the server computer, the authenticity information corresponding to the object ID to the client computer, the server computer maintaining the authenticity information stored in the server computer.
17. The method of claim 16, wherein the object is owned by a first user corresponding to a first client computer and a first avatar of the Metaverse, and the enquiry request is received from a second client computer corresponding to a second user and a second avatar of the Metaverse, and
the enquiry is received by the server from the second client computer based on an enquiry made by the second avatar with regards to the object in the Metaverse.
18. The method of claim 17, wherein the authenticity information corresponds to a third user and a third client computer, the method further comprising:
transmitting, by the server computer, a notice to the third client computer based on the enquiry request from the second client computer.
19. The method of claim 18, wherein the transmitting the notice to the third client computer is further based on a determination that the authenticity information corresponding to the object ID is not stored by the server computer.
20. A storage medium tangibly embodying computer-executable program instructions which, when executed by a server computer connected to a plurality of client computers through a network, and which controls objects in a Metaverse accessed by the client computers, causes the server computer to perform a method, the method comprising:
storing, in the server computer, an object ID specifying an object in the Metaverse accessible by the plurality of client computers and authenticity information associated with the object ID, the authenticity information indicating that the object is genuine;
receiving, by the server computer, from one of the plurality of client computers an enquiry request including the object ID to enquire about the object; and
transmitting, by the server computer, the authenticity information corresponding to the object ID to the client computer, the server computer maintaining the authenticity information stored in the server computer.</t>
  </si>
  <si>
    <t>I-000214263515</t>
  </si>
  <si>
    <t>20 years from 2009-03-06 (file date of patent US20090228550)</t>
  </si>
  <si>
    <t>https://patentscout.innography.com/share/K6-K9LY8xs3XoTwOMyCotw%3D%3D</t>
  </si>
  <si>
    <t>2021-07-13-INFORMATION ON STATUS: PATENT APPLICATION AND GRANTING PROCEDURE IN GENERAL</t>
  </si>
  <si>
    <t>https://patentscout.innography.com/share/K6-K9LY8xs3XoTwOMyCotw%3D%3D/download</t>
  </si>
  <si>
    <t>https://ppubs.uspto.gov/pubwebapp/external.html?q=20210268389.pn.</t>
  </si>
  <si>
    <t>US20210268389 A1</t>
  </si>
  <si>
    <t>1. A server computer connected to a plurality of client computers through a network, and which controls objects in a Metaverse accessed by the client computers, the server computer comprising:
a storage unit for storing an object ID specifying an object accessible in the Metaverse by the plurality of client computers and authenticity information associated with the object ID, the authenticity information indicating that the object is genuine;
a communication unit for communicating with each of the client computers; and
an enquiry unit for causing the communication unit to transmit said authenticity information corresponding to the object ID to at least one of the plurality of client computers upon receipt of an enquiry request to enquire about the object ID of the object from one of the plurality of client computers.</t>
  </si>
  <si>
    <t>16. A method comprising:
storing in a server computer an object ID specifying an object in a Metaverse accessible by a plurality of client computers and authenticity information associated with the object ID, the authenticity information indicating that the object is genuine;
receiving, by the server computer, from one of the plurality of client computers an enquiry request including the object ID to enquire about the object; and
transmitting, by the server computer, the authenticity information corresponding to the object ID to the client computer, the server computer maintaining the authenticity information stored in the server computer.</t>
  </si>
  <si>
    <t>20. A storage medium tangibly embodying computer-executable program instructions which, when executed by a server computer connected to a plurality of client computers through a network, and which controls objects in a Metaverse accessed by the client computers, causes the server computer to perform a method, the method comprising:
storing, in the server computer, an object ID specifying an object in the Metaverse accessible by the plurality of client computers and authenticity information associated with the object ID, the authenticity information indicating that the object is genuine;
receiving, by the server computer, from one of the plurality of client computers an enquiry request including the object ID to enquire about the object; and
transmitting, by the server computer, the authenticity information corresponding to the object ID to the client computer, the server computer maintaining the authenticity information stored in the server computer.</t>
  </si>
  <si>
    <t>KR20060032409 A | KR101943585 B1 | KR102130750 B1 | KR20120011772 A | KR20210022944 A | KR20210101275 A</t>
  </si>
  <si>
    <t>2022-09-16</t>
  </si>
  <si>
    <t>2022-03-03</t>
  </si>
  <si>
    <t>2042-03-03</t>
  </si>
  <si>
    <t>The present invention relates to a system and method for providing owner verification of avatar information for protecting avatar information in a metaverse platform from false avatar information and a user&amp;#39;s biometric information activity information and medical information through a VR device. and based on this an avatar can be created in virtual reality the information about the avatar is registered in the NFT and the information about the avatar is provided to the metaverse platform to provide the owner information and the avatar registered in the NFT. A system and method for verifying owner information received from a metaverse platform based on hash information and verifying forgery and falsification of information about the avatar and a system and method for providing owner verification for avatar information.</t>
  </si>
  <si>
    <t>System and method for providing owner verification of avatar information to protect avatar information in the metaverse platform from false avatar information</t>
  </si>
  <si>
    <t>Gachon University Of Industry-academic Cooperation Foundation</t>
  </si>
  <si>
    <t>Gachon University Of Industry Academic Cooperation Foundation</t>
  </si>
  <si>
    <t>KR20220027138A</t>
  </si>
  <si>
    <t>A system that provides owner verification of avatar information to protect avatar information in the Metaverse platform from false avatar information, which is installed to a user to provide video and sound for virtual reality, and to detect the user's voice. HMD;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an NFT for the avatar; and a metaverse platform that receives information about the avatar from the avatar management unit and applies the information about the avatar to the user's activities in the metaverse platform, wherein the avatar management unit comprises: a VR device worn by the user; a VR service unit for performing communication, providing information about virtual reality to the VR device, and providing a plurality of virtual reality contents to the user by generating an avatar of the user;NFT is generated by transmitting avatar hash information including object information related to the unique properties of the avatar, input information related to the information input by the user, and original information related to the original state of the avatar to an external blockchain network. an avatar NFT providing unit for requesting and providing the generated NFT to the user; and an avatar update unit that provides information about the avatar to the metaverse platform, receives interaction information that a user has interacted with using the avatar on the metaverse platform, and updates the avatar, The metaverse platform compares and verifies the second owner information, which is the owner information, among the information about the avatar received from the avatar management unit, based on the first owner information, which is the owner information registered in the NFT of the avatar, and 2 When the owner information is verified, a second hash value of the avatar information received from the avatar management unit is compared and verified based on the first hash value of the avatar hash information registered in the NFT of the avatar. an avatar information verification unit; an avatar information application unit for applying the avatar information received from the avatar management unit to the user's activities in the corresponding metaverse platform when the second hash value is verified; and an interaction information generating unit that generates interaction information according to a user's activity in the metaverse platform, wherein the VR service unit implements a virtual reality that is available only to the user and provides the plurality of virtual reality contents. the virtual reality implementation department; a VR communication unit that communicates with the VR device to exchange information; the user's biometric information received from the VR device; and a user information input unit for receiving user information including; and activity information and medical information received from the user's smartphone; an avatar generator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biometric information is transmitted through the camera device. input image information; EEG information of the user measured by the EEG meter; and the user's pulse information measured by the pulse meter, wherein the avatar generator derives respective appearance feature information from a plurality of the image information, and averages the derived plurality of appearance feature information to obtain a one-dimensional vector a basic appearance determining unit for deriving a character determination parameter in the form of, and determining a basic appearance of the avatar based on the character determination parameter;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 system that does.</t>
  </si>
  <si>
    <t>A system that provides owner verification of avatar information to protect avatar information in the Metaverse platform from false avatar information, which is installed to a user to provide video and sound for virtual reality, and to detect the user's voice. HMD;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an NFT for the avatar; and a metaverse platform that receives information about the avatar from the avatar management unit and applies the information about the avatar to the user's activities in the metaverse platform, wherein the avatar management unit comprises: a VR device worn by the user; a VR service unit for performing communication, providing information about virtual reality to the VR device, and providing a plurality of virtual reality contents to the user by generating an avatar of the user;NFT is generated by transmitting avatar hash information including object information related to the unique properties of the avatar, input information related to the information input by the user, and original information related to the original state of the avatar to an external blockchain network. an avatar NFT providing unit for requesting and providing the generated NFT to the user; and an avatar update unit that provides information about the avatar to the metaverse platform, receives interaction information that a user has interacted with using the avatar on the metaverse platform, and updates the avatar, The metaverse platform compares and verifies the second owner information, which is the owner information, among the information about the avatar received from the avatar management unit, based on the first owner information, which is the owner information registered in the NFT of the avatar, and 2 When the owner information is verified, a second hash value of the avatar information received from the avatar management unit is compared and verified based on the first hash value of the avatar hash information registered in the NFT of the avatar. an avatar information verification unit; an avatar information application unit for applying the avatar information received from the avatar management unit to the user's activities in the corresponding metaverse platform when the second hash value is verified; and an interaction information generating unit that generates interaction information according to a user's activity in the metaverse platform, wherein the VR service unit implements a virtual reality that is available only to the user and provides the plurality of virtual reality contents. the virtual reality implementation department; a VR communication unit that communicates with the VR device to exchange information; the user's biometric information received from the VR device; and a user information input unit for receiving user information including; and activity information and medical information received from the user's smartphone; an avatar generator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biometric information is transmitted through the camera device. input image information; EEG information of the user measured by the EEG meter; and the user's pulse information measured by the pulse meter, wherein the avatar generator derives respective appearance feature information from a plurality of the image information, and averages the derived plurality of appearance feature information to obtain a one-dimensional vector a basic appearance determining unit for deriving a character determination parameter in the form of, and determining a basic appearance of the avatar based on the character determination parameter;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 system that does.
delete
The method according to claim 1, wherein the avatar information verification unit comprises: an avatar information receiving step of receiving information on the avatar from the avatar management unit;an avatar NFT owner receiving step of receiving first owner information, which is owner information registered in the NFT of the avatar;an avatar information owner extraction step of extracting second owner information, which is owner information of the avatar, from the received information on the avatar;a first comparison verification step of verifying an owner by comparing the first owner information and the second owner information;an avatar NFT hash value receiving step of receiving a first hash value of avatar hash information registered in the NFT of the avatar;an avatar information hash value deriving step of deriving a second hash value by applying a hash function to the received information on the avatar; and a second comparison verification step of verifying forgery by comparing the first hash value and the second hash value, wherein only when the first owner information and the second owner information are the same, the avatar NFT hash value A system for providing owner verification for avatar information, performing the receiving step to the second comparison verification step.
The information application of claim 1, wherein the avatar information application unit requests approval from the owner of the avatar information only when the avatar information verification unit verifies that the first hash value and the second hash value are the same. approval stage; and an avatar information application step of applying the avatar information received from the avatar management unit to the user's activities in the corresponding metaverse platform only when the owner approves; providing owner verification for avatar information system that does.
The method according to claim 1, wherein the avatar update unit provides the avatar information providing step of providing information on the avatar to the metaverse platform;an interaction information receiving step of receiving interaction information corresponding to the avatar from the metaverse platform; and an avatar update step of extracting avatar-related information from the interaction information and updating the avatar based on the avatar-related information.
The method according to claim 5, wherein in the step of updating the avatar, when the game is provided on the metaverse platform, the aging information is adjusted based on level-up information, the number of collected items and the number of quest cleared, and based on the aging information When the avatar is updated with respect to the skin condition information of the avatar, hair condition information, the degree of curvature of the skeleton, the inclination of the eyes and the mouth shape, and when the game is provided on the metaverse platform, the usage time, the number of skills acquired and the items to be worn A system for providing owner verification for avatar information, wherein the moving speed is adjusted based on the number and the avatar is updated based on the moving speed.
delete
delete
delete
The method according to claim 1, wherein the first content provided to the user by the first content providing unit is content for strengthening the user's cognitive ability and concentration, including finding a wrong picture, arithmetic, and jigsaw puzzle, and the second content The second content provided to the user by the content providing unit is content capable of performing physical activity strengthening training of the user including walking, stretching and squatting, and the third content provided to the user by the third content providing unit 3 content, the user performs intensive training on the injured body part, or performs intensive training on cognitive ability enhancement including the user's memory, judgment, language ability, and ability to grasp space and time. A system that provides owner verification of the avatar's information, content for users to train in areas of weakness.
The method according to claim 1, wherein the aging information control unit, Concentration score calculating step of calculating an intensity score based on the user's EEG information measured while the user performs the first content;an activity score calculating step of calculating an activity score based on the user's pulse information and EMG information measured while the user performs the second content;an execution result score calculating step of calculating a first score, a second score, and a third score, respectively, based on the execution result of the first content, the execution result of the second content, and the execution result of the third content; and an aging information reduction step of reducing aging information based on the sum of the first score, the second score, the third score, the concentration score, and the activity score. A system that provides owner verification.
A method of providing owner verification for avatar information implemented in a system for providing owner verification for avatar information to prevent avatar creation on a metaverse platform with false avatar information, the system comprising: an HMD that provides images and sounds for reality and detects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an NFT for the avatar; and a metaverse platform that receives information about the avatar from the avatar management unit and applies the information about the avatar to the user's activities in the metaverse platform, wherein the method includes: by the avatar management unit, the user a VR service step of communicating with a VR device to be worn, providing information about virtual reality to the VR device, and providing a plurality of virtual reality contents to the user by generating an avatar of the user;The avatar management unit transmits, by the avatar management unit, avatar hash information including object information related to the unique properties of the avatar, input information related to the information input by the user, and original information related to the original state of the avatar to an external block chain. an avatar NFT providing step of transmitting to a network, requesting NFT generation, and providing the generated NFT to the user;An avatar update step of providing, by the avatar management unit, information about the avatar to the metaverse platform, receiving interaction information that the user has interacted with using the avatar on the metaverse platform, and updating the avatar;The metaverse platform compares and verifies the second owner information, which is the owner information, among the information on the avatar received from the avatar management unit, based on the first owner information, which is the owner information registered in the NFT of the avatar, and When the second owner information is verified, the second hash value of the avatar information received from the avatar management unit is compared with the first hash value of the avatar hash information registered in the NFT of the avatar. Avatar information verification step to verify;an avatar information application step of applying, when the second hash value is verified by the metaverse platform, the information on the avatar received from the avatar management unit to the user's activities in the metaverse platform; and an interaction information generation step of generating, by the metaverse platform, interaction information according to the activity of a user in the metaverse platform, wherein the VR service step is available only to the user, and the plurality of virtual reality A virtual reality implementation step of implementing virtual reality in which content is provided; a VR communication step of exchanging information by communicating with the VR device; the user's biometric information received from the VR device; and a user information input step of receiving user information including; and activity information and medical information received from the user's smartphone; an avatar generation step of generating an avatar of the user based on the user information in the virtual reality implemented by the virtual reality implementation step; and a VR content providing step of providing the plurality of contents to the avatar created in the virtual reality, and updating the appearance of the avatar whenever the avatar is performed. input image information; EEG information of the user measured by the EEG meter; and the pulse information of the user measured by the pulse meter, wherein the avatar generation step is performed by deriving each appearance feature information from a plurality of the image information, and averaging the plurality of appearance feature information to obtain a one-dimensional a basic appearance determination step of deriving a character determination parameter in the form of a vector and determining a basic appearance of the avatar based on the character determination parameter; an aging information determining step of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determination step;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step of determining the moving speed of the avatar in this way, wherein the aging information determining step includes the user's skin condition information, hair condition information, and a bent skeleton from the image information input through the camera device. a first aging information step of deriving first aging information including a degree;a second aging information step of deriving second aging information including the stability of the EEG and the concentration of the user from the EEG information of the user measured by the EEG;a third aging information step of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and includes a summation score obtained by summing each score and each score. Comprehensive judgment module step of deriving a; including, wherein the VR content providing step is to provide content for which the difficulty is determined based on the aging information of the user, and the user's cognitive ability and concentration reinforcement training can be performed, a first content providing step; a second content providing step of determining a difficulty level based on the activity information of the corresponding user and providing content capable of performing the user's physical activity reinforcement training; a third content providing step of determining the type of content based on the disease information of the user and providing content that can be trained on a body part or cognitive ability requiring rehabilitation; The result of performing the contents provided in the first contents providing step, the second contents providing step, and the third contents providing step, the EEG information measured by the EEG during the execution period for the contents, and An aging information control step of calculating one or more scores based on the pulse information measured by the pulse meter, and adjusting the aging information according to the one or more scores; and an avatar appearance update step of updating the appearance of the user's avatar by adjusting the first graphic effect according to the adjusted aging information by the aging information adjustment step; How to.</t>
  </si>
  <si>
    <t>Whangbo, Taeg Keun|Oh, Gi Sung|Jung, Won Jun|Kim, Je Hyun</t>
  </si>
  <si>
    <t>G06Q05010000 | A61B00502400 | A61B00511000 | A61B00536900 | G02B02701000 | G06F02164000 | G06T01340000 | G06T01920000 | G06V04016000 | G16H01060000 | H04L00932000</t>
  </si>
  <si>
    <t>KR102443946B1</t>
  </si>
  <si>
    <t>KR102443946 B1</t>
  </si>
  <si>
    <t>I-000230623647</t>
  </si>
  <si>
    <t>20 years from 2022-03-03 (file date)</t>
  </si>
  <si>
    <t>https://patentscout.innography.com/share/3am-BZkAseJMMK-in9FSFA%3D%3D</t>
  </si>
  <si>
    <t>2022-09-08-DECISION TO GRANT OR REGISTRATION OF PATENT RIGHT|2022-09-13-WRITTEN DECISION TO GRANT</t>
  </si>
  <si>
    <t>https://patentscout.innography.com/share/3am-BZkAseJMMK-in9FSFA%3D%3D/download</t>
  </si>
  <si>
    <t>https://v3.espacenet.com/publicationDetails/biblio?CC=KR&amp;NR=102443946B1&amp;KC=B1&amp;FT=D&amp;date=20220916&amp;DB=EPODOC&amp;locale=</t>
  </si>
  <si>
    <t>KR20102443946 B1</t>
  </si>
  <si>
    <t>1.  A system that provides owner verification of avatar information to protect avatar information in the Metaverse platform from false avatar information, which is installed to a user to provide video and sound for virtual reality, and to detect the user's voice. HMD;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an NFT for the avatar; and a metaverse platform that receives information about the avatar from the avatar management unit and applies the information about the avatar to the user's activities in the metaverse platform, wherein the avatar management unit comprises: a VR device worn by the user; a VR service unit for performing communication, providing information about virtual reality to the VR device, and providing a plurality of virtual reality contents to the user by generating an avatar of the user;NFT is generated by transmitting avatar hash information including object information related to the unique properties of the avatar, input information related to the information input by the user, and original information related to the original state of the avatar to an external blockchain network. an avatar NFT providing unit for requesting and providing the generated NFT to the user; and an avatar update unit that provides information about the avatar to the metaverse platform, receives interaction information that a user has interacted with using the avatar on the metaverse platform, and updates the avatar, The metaverse platform compares and verifies the second owner information, which is the owner information, among the information about the avatar received from the avatar management unit, based on the first owner information, which is the owner information registered in the NFT of the avatar, and 2 When the owner information is verified, a second hash value of the avatar information received from the avatar management unit is compared and verified based on the first hash value of the avatar hash information registered in the NFT of the avatar. an avatar information verification unit; an avatar information application unit for applying the avatar information received from the avatar management unit to the user's activities in the corresponding metaverse platform when the second hash value is verified; and an interaction information generating unit that generates interaction information according to a user's activity in the metaverse platform, wherein the VR service unit implements a virtual reality that is available only to the user and provides the plurality of virtual reality contents. the virtual reality implementation department; a VR communication unit that communicates with the VR device to exchange information; the user's biometric information received from the VR device; and a user information input unit for receiving user information including; and activity information and medical information received from the user's smartphone; an avatar generator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biometric information is transmitted through the camera device. input image information; EEG information of the user measured by the EEG meter; and the user's pulse information measured by the pulse meter, wherein the avatar generator derives respective appearance feature information from a plurality of the image information, and averages the derived plurality of appearance feature information to obtain a one-dimensional vector a basic appearance determining unit for deriving a character determination parameter in the form of, and determining a basic appearance of the avatar based on the character determination parameter;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 system that does.</t>
  </si>
  <si>
    <t>12.  A method of providing owner verification for avatar information implemented in a system for providing owner verification for avatar information to prevent avatar creation on a metaverse platform with false avatar information, the system comprising: an HMD that provides images and sounds for reality and detects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an NFT for the avatar; and a metaverse platform that receives information about the avatar from the avatar management unit and applies the information about the avatar to the user's activities in the metaverse platform, wherein the method includes: by the avatar management unit, the user a VR service step of communicating with a VR device to be worn, providing information about virtual reality to the VR device, and providing a plurality of virtual reality contents to the user by generating an avatar of the user;The avatar management unit transmits, by the avatar management unit, avatar hash information including object information related to the unique properties of the avatar, input information related to the information input by the user, and original information related to the original state of the avatar to an external block chain. an avatar NFT providing step of transmitting to a network, requesting NFT generation, and providing the generated NFT to the user;An avatar update step of providing, by the avatar management unit, information about the avatar to the metaverse platform, receiving interaction information that the user has interacted with using the avatar on the metaverse platform, and updating the avatar;The metaverse platform compares and verifies the second owner information, which is the owner information, among the information on the avatar received from the avatar management unit, based on the first owner information, which is the owner information registered in the NFT of the avatar, and When the second owner information is verified, the second hash value of the avatar information received from the avatar management unit is compared with the first hash value of the avatar hash information registered in the NFT of the avatar. Avatar information verification step to verify;an avatar information application step of applying, when the second hash value is verified by the metaverse platform, the information on the avatar received from the avatar management unit to the user's activities in the metaverse platform; and an interaction information generation step of generating, by the metaverse platform, interaction information according to the activity of a user in the metaverse platform, wherein the VR service step is available only to the user, and the plurality of virtual reality A virtual reality implementation step of implementing virtual reality in which content is provided; a VR communication step of exchanging information by communicating with the VR device; the user's biometric information received from the VR device; and a user information input step of receiving user information including; and activity information and medical information received from the user's smartphone; an avatar generation step of generating an avatar of the user based on the user information in the virtual reality implemented by the virtual reality implementation step; and a VR content providing step of providing the plurality of contents to the avatar created in the virtual reality, and updating the appearance of the avatar whenever the avatar is performed. input image information; EEG information of the user measured by the EEG meter; and the pulse information of the user measured by the pulse meter, wherein the avatar generation step is performed by deriving each appearance feature information from a plurality of the image information, and averaging the plurality of appearance feature information to obtain a one-dimensional a basic appearance determination step of deriving a character determination parameter in the form of a vector and determining a basic appearance of the avatar based on the character determination parameter; an aging information determining step of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determination step;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step of determining the moving speed of the avatar in this way, wherein the aging information determining step includes the user's skin condition information, hair condition information, and a bent skeleton from the image information input through the camera device. a first aging information step of deriving first aging information including a degree;a second aging information step of deriving second aging information including the stability of the EEG and the concentration of the user from the EEG information of the user measured by the EEG;a third aging information step of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 and includes a summation score obtained by summing each score and each score. Comprehensive judgment module step of deriving a; including, wherein the VR content providing step is to provide content for which the difficulty is determined based on the aging information of the user, and the user's cognitive ability and concentration reinforcement training can be performed, a first content providing step; a second content providing step of determining a difficulty level based on the activity information of the corresponding user and providing content capable of performing the user's physical activity reinforcement training; a third content providing step of determining the type of content based on the disease information of the user and providing content that can be trained on a body part or cognitive ability requiring rehabilitation; The result of performing the contents provided in the first contents providing step, the second contents providing step, and the third contents providing step, the EEG information measured by the EEG during the execution period for the contents, and An aging information control step of calculating one or more scores based on the pulse information measured by the pulse meter, and adjusting the aging information according to the one or more scores; and an avatar appearance update step of updating the appearance of the user's avatar by adjusting the first graphic effect according to the adjusted aging information by the aging information adjustment step; How to.</t>
  </si>
  <si>
    <t>US20040002380 A1 | US20040051745 A1 | US20040085335 A1 | US20040102245 A1 | US20080158242 A1 | US20090237518 A1 | US20090254222 A1 | US20110007069 A1 | US20110066928 A1 | US20110210962 A1 | US8089479 B2 | US20090128549 A1 | US20090262984 A1 | US20090285444 A1 | US8026913 B2 | US5920692 A | US20070265091 A1 | US20070298886 A1 | US20080090659 A1 | US20080147424 A1</t>
  </si>
  <si>
    <t>US20140237392 A1 | US9259648 B2 | US20140188494 A1 | US20160074758 A1 | US20160217604 A1 | US10279272 B2 | US10304068 B2 | US10455198 B1 | US10482652 B2 | US10491864 B1 | US20170054812 A1 | US10565308 B2 | US10600296 B2 | US10671815 B2 | US10860812 B2 | US11082666 B1</t>
  </si>
  <si>
    <t>2014-11-18</t>
  </si>
  <si>
    <t>US12/614475</t>
  </si>
  <si>
    <t>MARY E DIXON</t>
  </si>
  <si>
    <t xml:space="preserve">A metaverse system having a camera system for capturing image data from within a metaverse, comprising:
a computer system comprising:
an interface for installing and administering a camera within the metaverse;
a system for collecting image data from the camera based on an occurrence of a triggering event associated with the camera; and
a system for storing or delivering the image data.
</t>
  </si>
  <si>
    <t>1. A metaverse system having a camera system for capturing image data from within a metaverse, comprising:
a computer system comprising:
an interface for installing and administering a camera within the metaverse;
a system for collecting image data from the camera based on an occurrence of a triggering event associated with the camera; and
a system for storing or delivering the image data.
2. The metaverse system of claim 1, wherein image data is collected by the camera in an automatic fashion independently from a user.
3. The metaverse system of claim 1, further comprising a notification system for notifying at least one user when image data has been collected.
4. The metaverse system of claim 3, wherein the notification system interfaces with a third party application.
5. The metaverse system of claim 1, wherein the system for storing or delivering the image data performs one of:
storing the image data in an inventory associated with at least one user; or
delivering the image data to at least one user via a third party application.
6. The metaverse system of claim 1, wherein the interface comprises a graphical user interface (GUI) and the GUI allows a user to place a camera within a scene, select a camera type, select at least one triggering event for the camera, select a notification protocol and select a delivery or storage protocol.
7. The metaverse system of claim 1, wherein the triggering event includes an action detected within a field of view of the camera.
8. The metaverse system of claim 1, wherein the triggering event includes an action independent of any activity occurring within a field of view of the camera.
9. A computer readable storage medium having a computer program product stored thereon for capturing image data from within a metaverse, comprising:
program code for implementing an interface for installing and administering a camera within the metaverse;
program code for collecting image data from the camera based on an occurrence of a triggering event associated with the camera; and
program code for storing or delivering the image data.
10. The computer readable storage medium of claim 9, wherein the program code for collecting image data collects image data an automatic fashion independently from a user.
11. The computer readable storage medium of claim 9, further comprising program code for notifying at least one user when image data has been collected.
12. The computer readable storage medium of claim 11, wherein the program code for notifying interfaces with a third party application.
13. The computer readable storage medium of claim 9, wherein the program code for storing or delivering the image data performs at least one of:
storing the image data in an inventory associated with at least one user; and
delivering the image data to at least one user via a third party application.
14. The computer readable storage medium of claim 9, wherein the interface comprises a graphical user interface (GUI) and the GUI allows a user to place a camera within a scene, select a camera type, select at least one triggering event for the camera, select a notification protocol and select a delivery or storage protocol.
15. The computer readable storage medium of claim 9, wherein the triggering event includes an action detected within a field of view of the camera.
16. The computer readable storage medium of claim 9, wherein the triggering event includes an action independent of any activity occurring within a field of view of the camera.
17. A method for capturing image data from within a metaverse, comprising:
providing an interface for installing and administering a camera within the metaverse;
collecting image data from the camera based on an occurrence of a triggering event associated with the camera; and
storing or delivering the image data.
18. The method of claim 17, wherein the collecting of image data is done in an automatic fashion independently from an input of a user.
19. The method of claim 17, further comprising notifying at least one user when image data has been collected.
20. The method of claim 19, wherein the notifying interfaces with a third party application.
21. The method of claim 17, wherein storing or delivering the image data includes at least one of:
storing the image data in an inventory associated with at least one user; and
delivering the image data to at least one user via a third party application.
22. The method of claim 17, wherein installing and administering includes providing a graphical user interface for placing a camera within a scene, selecting a camera type, selecting at least one triggering event for the camera, selecting a notification protocol and selecting a delivery or storage protocol.
23. The method of claim 17, wherein the triggering event includes an action detected within a field of view of the camera.
24. The method of claim 17, wherein the triggering event includes an action independent of any activity occurring within a field of view of the camera.
25. A method of capturing data from within a metaverse for at least one user, comprising:
receiving an installation of a recording device within the metaverse;
receiving a specification of at least one triggering event associated with the recording device;
collecting a resulting set of data; and
storing the resulting set of data for at least one user.</t>
  </si>
  <si>
    <t>Cannon, Ulysses L|Jones, Angela Richards|Lyle, Ruthie D|Mcvey, Susan Stanford</t>
  </si>
  <si>
    <t>US8893047 B2</t>
  </si>
  <si>
    <t>G06F00304800 | G06K00954000 | G06T01500000</t>
  </si>
  <si>
    <t>715848000|345419000|382305000</t>
  </si>
  <si>
    <t>I-000096023954</t>
  </si>
  <si>
    <t>Application expired due to grant (US8893047 B2)</t>
  </si>
  <si>
    <t>https://patentscout.innography.com/share/1hqG5-V-ldu7WVskV6A2VA%3D%3D</t>
  </si>
  <si>
    <t>2009-10-26-ASSIGNMENT (INTERNATIONAL BUSINESS MACHINES CORPORATION)|2014-10-29-INFORMATION ON STATUS: PATENT GRANT|2018-04-16-MAINTENANCE FEE PAYMENT|2022-04-15-MAINTENANCE FEE PAYMENT</t>
  </si>
  <si>
    <t>https://patentscout.innography.com/share/1hqG5-V-ldu7WVskV6A2VA%3D%3D/download</t>
  </si>
  <si>
    <t>https://ppubs.uspto.gov/pubwebapp/external.html?q=20110113382.pn.</t>
  </si>
  <si>
    <t>101 | (not available) | CTNF
101 | (not available) | CTFR</t>
  </si>
  <si>
    <t>102 | US11/548904 | CTNF
102 | US11/968762 | CTNF</t>
  </si>
  <si>
    <t>103 | US11/548904 | CTFR
103 | US11/548904 | CTNF
103 | US11/968762 | CTNF
103 | US11/968762 | CTFR</t>
  </si>
  <si>
    <t>112 | (N/A) | CTNF
112 | (N/A) | CTFR</t>
  </si>
  <si>
    <t>International Business Machines Corp.
FUJIFILM Holdings Corp</t>
  </si>
  <si>
    <t>International Business Machines Corp.
International Business Machines Corp.
FUJIFILM Holdings Corp
FUJIFILM Holdings Corp</t>
  </si>
  <si>
    <t>2014-01-28</t>
  </si>
  <si>
    <t>Andrea Bauer</t>
  </si>
  <si>
    <t>1. A metaverse system having a camera system for capturing image data from within a metaverse, comprising:
a computer system comprising:
an interface for installing and administering a camera within the metaverse;
a system for collecting image data from the camera based on an occurrence of a triggering event associated with the camera; and
a system for storing or delivering the image data.</t>
  </si>
  <si>
    <t>9. A computer readable storage medium having a computer program product stored thereon for capturing image data from within a metaverse, comprising:
program code for implementing an interface for installing and administering a camera within the metaverse;
program code for collecting image data from the camera based on an occurrence of a triggering event associated with the camera; and
program code for storing or delivering the image data.</t>
  </si>
  <si>
    <t>17. A method for capturing image data from within a metaverse, comprising:
providing an interface for installing and administering a camera within the metaverse;
collecting image data from the camera based on an occurrence of a triggering event associated with the camera; and
storing or delivering the image data.</t>
  </si>
  <si>
    <t>25. A method of capturing data from within a metaverse for at least one user, comprising:
receiving an installation of a recording device within the metaverse;
receiving a specification of at least one triggering event associated with the recording device;
collecting a resulting set of data; and
storing the resulting set of data for at least one user.</t>
  </si>
  <si>
    <t>CN1858757 A | EP0969430 A1 | US6119229 A | US20030014423 A1 | US20040030888 A1 | US20050216361 A1 | US20070050716 A1 | US20100169798 A1 | US6135646 A</t>
  </si>
  <si>
    <t>CN104572297 A | US10951958 B1 | WO2022231909 A1</t>
  </si>
  <si>
    <t>1. A server computer connected to a plurality of client computers through a network, and which controls objects in a Metaverse accessed by the client computers, the server computer comprising:
a storage unit for storing an object ID specifying an object accessible in the Metaverse by the plurality of client computers and authenticity information associated with the object ID, the authenticity information indicating that the object is genuine;
a communication unit for communicating with each of the client computers; and
an enquiry unit for causing the communication unit to transmit said authenticity information corresponding to the object ID to at least one of the plurality of client computers upon receipt of an enquiry request to enquire about the object ID of the object from one of the plurality of client computers.
2. The server computer according to claim 1, wherein first and second client computers of the plurality of client computers correspond to first and second avatars of the Metaverse,
the object is owned by the first avatar in the Metaverse,
the enquiry unit is configured to receive the enquiry request from the second client computer based on an enquiry made by the second avatar in the Metaverse with regards to the object, and
the enquiry unit is configured to cause the communication unit to transmit the authenticity information to the second client computer based on the enquiry request from the second client computer.
3. The server computer according to claim 2, wherein the authenticity information is associated with a third user corresponding to a third client computer of the plurality of client computers, and
the enquiry unit is configured to cause the communication unit to further transmit a notice to the third user based on the enquiry request from the second client computer.
4. The server computer according to claim 3, wherein the enquiry unit is configured to cause the communication unit to further transmit a notice to the third user based on determining that the storage unit does not include the authenticity information indicating that the object is genuine.
5. The server computer according to claim 1, wherein:
the object is an accessory object for avatars in the Metaverse;
the authenticity information further includes manager information specifying a manager of the brand of the accessory object, a brand name indicating the name of the brand, and logo data indicating the logo of the brand; and
the enquiry unit includes means for causing the communication unit to transmit to the client computer at least one of the manager information, the brand name and the logo data corresponding to the object ID based on receipt of an enquiry request including an object ID to enquire about the accessory object of the object ID from the at least one client computer.
6. The server computer according to claim 1, wherein:
the object is an employee badge object of an avatar in the Metaverse;
the authenticity information further includes owner information specifying an owner of the employee badge object, a company name indicating the name of the company, and logo data indicating the logo of the company; and
the enquiry unit includes means for causing the communication unit to transmit to the client computer at least one of the owner information, the company name and the logo data corresponding to the object ID based on receipt of an enquiry request for the employee badge object including a corresponding object ID from the at least one client computer.
7. The server computer according to claim 1, wherein:
the object is a ticket having the expiration time in the Metaverse,
the object information includes time period information indicating an expiration time of the authenticity information, and
the enquiry unit includes means for causing the communication unit to transmit authenticity information corresponding to the object ID to the at least one client computer based on receipt of an enquiry request including an object ID from the at least one client computer to enquire about the object client computer and based on a determination that the authenticity information has not yet expired.
8. The server computer according to claim 1, wherein the object information includes each of owner information specifying an owner of the object and manager information specifying a manager of the object.
9. The server computer according to claim 1, further comprising an update unit which copies an object upon receipt of a copying request including an object ID to copy the object of the object ID from the at least one client computer, wherein authenticity information of the copied object is not stored in the storage unit.
10. The server computer according to claim 1, wherein:
the object information further includes owner information specifying an owner of the object; and
the server computer further comprises an update unit which changes the owner information from a first user to a second user upon receipt of a giving request including the object ID to give the object from the first user to the second user, wherein the giving request does not change the authenticity information.
11. The server computer according to claim 1, wherein the object is given from a first avatar to a second avatar in the Metaverse in which the first and second users log in as the first and second avatars through first and second client computers, respectively.
12. The server computer according to claim 1, wherein:
the object is an accessory object for avatars in the Metaverse; and
the authenticity information further includes manager information specifying a manager of a brand of the accessory object and a brand name indicating the name of the brand, and
the server computer further comprises: a registration unit for registering a user as a manager of the brand and the brand name as the name of the brand in the storage unit upon receipt of a brand registration request to register the user as the manager of the brand from one of the plurality of client computers upon determining that the same brand name is not already registered with another user assigned as the manager.
13. The server computer according to claim 12, wherein, upon receipt of an accessory object registration request to register a certain accessory object as a genuine object from one of the plurality of client computers, the registration unit registers a corresponding object ID and authenticity information in association with each other as object information in the storage unit upon determining that the user of the client computer is registered as the manager of the brand.
14. The server computer according to claim 1, wherein:
the object is an employee badge object of an avatar in the Metaverse, and
the authenticity information further includes owner information specifying an owner of the employee badge object and a company name indicating a name of the company, and
the server computer further comprises:
a registration unit configured to register in authenticity information a user as an owner of the employee badge object and the company name as the name of the company upon receipt of an employee badge registration request to register the user as the owner of a certain employee badge object from one of the plurality of client computers, upon determining that the same company name is not already registered with another user assigned as the owner.
15. The server computer according to claim 14, wherein, upon receipt of the employee badge object registration request to register the employee badge object as a genuine object, the registration unit registers a corresponding object ID and authenticity information in association with each other as object information, upon determining that the user is registered as the owner of the employee badge object.
16. A method comprising:
storing in a server computer an object ID specifying an object in a Metaverse accessible by a plurality of client computers and authenticity information associated with the object ID, the authenticity information indicating that the object is genuine;
receiving, by the server computer, from one of the plurality of client computers an enquiry request including the object ID to enquire about the object; and
transmitting, by the server computer, the authenticity information corresponding to the object ID to the client computer, the server computer maintaining the authenticity information stored in the server computer.
17. The method of claim 16, wherein the object is owned by a first user corresponding to a first client computer and a first avatar of the Metaverse, and the enquiry request is received from a second client computer corresponding to a second user and a second avatar of the Metaverse, and
the enquiry is received by the server from the second client computer based on an enquiry made by the second avatar with regards to the object in the Metaverse.
18. The method of claim 17, wherein the authenticity information corresponds to a third user and a third client computer, the method further comprising:
transmitting, by the server computer, a notice to the third client computer based on the enquiry request from the second client computer.
19. The method of claim 18, wherein the transmitting the notice to the third client computer is further based on a determination that the authenticity information corresponding to the object ID is not stored by the server computer.
20. A storage medium tangibly embodying computer-executable program instructions which, when executed by a server computer connected to a plurality of client computers through a network, and which controls objects in a Metaverse accessed by the client computers, causes the server computer to perform a method, the method comprising:
storing, in the server computer, an object ID specifying an object in the Metaverse accessible by the plurality of client computers and authenticity information associated with the object ID, the authenticity information indicating that the object is genuine;
receiving, by the server computer, from one of the plurality of client computers an enquiry request including the object ID to enquire about the object; and
transmitting, by the server computer, the authenticity information corresponding to the object ID to the client computer, the server computer maintaining the authenticity information stored in the server computer.</t>
  </si>
  <si>
    <t>US9808722 B2</t>
  </si>
  <si>
    <t>G06F02160000</t>
  </si>
  <si>
    <t>G06F02160000 | G06F02162000 | G06Q03006000 | G06Q05000000 | G06T00100000</t>
  </si>
  <si>
    <t>Application expired due to grant (US9808722 B2)</t>
  </si>
  <si>
    <t>https://patentscout.innography.com/share/r5tK9uWIgwtgvAqM8zjhsQ%3D%3D</t>
  </si>
  <si>
    <t>https://patentscout.innography.com/share/r5tK9uWIgwtgvAqM8zjhsQ%3D%3D/download</t>
  </si>
  <si>
    <t>https://ppubs.uspto.gov/pubwebapp/external.html?q=20120266256.pn.</t>
  </si>
  <si>
    <t>US20030038805 A1 | US20070117635 A1 | US20080180438 A1 | US20080268961 A1 | US20100060661 A1</t>
  </si>
  <si>
    <t>US20160127180 A1 | US9762443 B2 | US9838512 B2 | US9843598 B2 | US9923767 B2 | US10127273 B2 | US10193916 B2 | US10257059 B2 | US10264106 B2 | US10334085 B2 | US10348583 B2 | US10360196 B2 | US10366101 B2 | US10374883 B2 | US10382599 B2 | US10462004 B2 | US10523521 B2 | US10693742 B2 | US10700950 B2 | US10701191 B2 | US10805438 B2 | US10812514 B2 | US10951474 B2 | US11086897 B2 | US11108659 B2 | US11115505 B2 | US11245581 B2 | US11252056 B2 | US11281643 B2 | US11296951 B2 | US11314737 B2 | US11425229 B2 | US11451453 B2</t>
  </si>
  <si>
    <t xml:space="preserve">A metaverse system having a camera system for capturing image data from within a metaverse, comprising:
at least one computer device, including:
a display;
a graphical user interface (GUI), rendered on the display, for installing and administering, by a user, a camera within the metaverse, wherein the GUI allows a user to: place the camera within a scene, select a camera type, select at least one triggering event for the camera, and select a notification protocol;
a system for collecting image data from the camera based on an occurrence of a triggering event associated with the camera, wherein the system for collecting image data includes a system for detecting an action within a field of view of the camera and for generating the triggering event in response to the detecting; and
a system for storing or delivering the image data;
wherein image data is collected by the camera in an automatic fashion independently from the user.
</t>
  </si>
  <si>
    <t>1. A metaverse system having a camera system for capturing image data from within a metaverse, comprising:
at least one computer device, including:
a display;
a graphical user interface (GUI), rendered on the display, for installing and administering, by a user, a camera within the metaverse, wherein the GUI allows a user to: place the camera within a scene, select a camera type, select at least one triggering event for the camera, and select a notification protocol;
a system for collecting image data from the camera based on an occurrence of a triggering event associated with the camera, wherein the system for collecting image data includes a system for detecting an action within a field of view of the camera and for generating the triggering event in response to the detecting; and
a system for storing or delivering the image data;
wherein image data is collected by the camera in an automatic fashion independently from the user.
2. The metaverse system of claim 1, further comprising a notification system for notifying at least one user when image data has been collected using the selected notification protocol.
3. The metaverse system of claim 2, wherein the notification system interfaces with a third party application.
4. The metaverse system of claim 1, wherein the system for storing or delivering the image:
stores the image data in an inventory associated with at least one user; and/or
delivers the image data to at least one user via a third party application.
5. A non-transitory computer readable storage medium having a computer program product stored thereon for implementing a method for capturing image data from within a metaverse when executed on a computing device, the method comprising:
rendering a graphical user interface (GUI) on a display, the GUI including controls for installing and administering, by a user, a camera within the metaverse, wherein the GUI allows a user to: place the camera within a scene, select a camera type, select at least one triggering event for the camera, and select a notification protocol;
collecting image data from the camera based on an occurrence of a triggering event associated with the camera, wherein the collecting image data includes detecting an action within a field of view of the camera and generating the triggering event in response to the detecting; and
storing or delivering the image data;
wherein image data is collected by the camera in an automatic fashion independently from the user.
6. The computer readable storage medium of claim 5, further comprising program code for notifying at least one user when image data has been collected using the selected notification protocol.
7. The computer readable storage medium of claim 6, wherein the notification interfaces with a third party application.
8. The computer readable storage medium of claim 5, wherein the storing or delivering the image data further comprises:
storing the image data in an inventory associated with at least one user; and/or
delivering the image data to at least one user via a third party application.
9. A method for capturing image data from within a metaverse, comprising:
providing an graphical user interface (GUI) on a display of a computing device, the GUI including controls for installing and administering, by a user, a camera within the metaverse, wherein the GUI allows a user to: place the camera within a scene, select a camera type, select at least one triggering event for the camera, and select a notification protocol;
collecting image data from the camera based on an occurrence of a triggering event associated with the camera, wherein the collecting image data includes detecting an action within a field of view of the camera and generating the triggering event in response to the detecting; and
storing or delivering the image data;
wherein image data is collected by the camera in an automatic fashion independently from the user.
10. The method of claim 9, further comprising notifying at least one user when image data has been collected using the selected notification protocol.
11. The method of claim 10, wherein the notifying interfaces with a third party application.
12. The method of claim 9, wherein storing or delivering the image data includes:
storing the image data in an inventory associated with at least one user; and/or
delivering the image data to at least one user via a third party application.</t>
  </si>
  <si>
    <t>US9875580 B2</t>
  </si>
  <si>
    <t>G06T01900000 | H04L02906000</t>
  </si>
  <si>
    <t>Application expired due to grant (US9875580 B2)</t>
  </si>
  <si>
    <t>https://patentscout.innography.com/share/JZvb10PC2GXsfDmdxwLeCA%3D%3D</t>
  </si>
  <si>
    <t>https://patentscout.innography.com/share/JZvb10PC2GXsfDmdxwLeCA%3D%3D/download</t>
  </si>
  <si>
    <t>https://ppubs.uspto.gov/pubwebapp/external.html?q=20150062113.pn.</t>
  </si>
  <si>
    <t>1. A metaverse system having a camera system for capturing image data from within a metaverse, comprising:
at least one computer device, including:
a display;
a graphical user interface (GUI), rendered on the display, for installing and administering, by a user, a camera within the metaverse, wherein the GUI allows a user to: place the camera within a scene, select a camera type, select at least one triggering event for the camera, and select a notification protocol;
a system for collecting image data from the camera based on an occurrence of a triggering event associated with the camera, wherein the system for collecting image data includes a system for detecting an action within a field of view of the camera and for generating the triggering event in response to the detecting; and
a system for storing or delivering the image data;
wherein image data is collected by the camera in an automatic fashion independently from the user.</t>
  </si>
  <si>
    <t>5. A non-transitory computer readable storage medium having a computer program product stored thereon for implementing a method for capturing image data from within a metaverse when executed on a computing device, the method comprising:
rendering a graphical user interface (GUI) on a display, the GUI including controls for installing and administering, by a user, a camera within the metaverse, wherein the GUI allows a user to: place the camera within a scene, select a camera type, select at least one triggering event for the camera, and select a notification protocol;
collecting image data from the camera based on an occurrence of a triggering event associated with the camera, wherein the collecting image data includes detecting an action within a field of view of the camera and generating the triggering event in response to the detecting; and
storing or delivering the image data;
wherein image data is collected by the camera in an automatic fashion independently from the user.</t>
  </si>
  <si>
    <t>9. A method for capturing image data from within a metaverse, comprising:
providing an graphical user interface (GUI) on a display of a computing device, the GUI including controls for installing and administering, by a user, a camera within the metaverse, wherein the GUI allows a user to: place the camera within a scene, select a camera type, select at least one triggering event for the camera, and select a notification protocol;
collecting image data from the camera based on an occurrence of a triggering event associated with the camera, wherein the collecting image data includes detecting an action within a field of view of the camera and generating the triggering event in response to the detecting; and
storing or delivering the image data;
wherein image data is collected by the camera in an automatic fashion independently from the user.</t>
  </si>
  <si>
    <t>KR101282292 B1 | KR20120003588 A | KR20200033064 A | KR20200076446 A | KR20210063284 A</t>
  </si>
  <si>
    <t>KR102447516 B1</t>
  </si>
  <si>
    <t>2022-04-20</t>
  </si>
  <si>
    <t>2021-11-03</t>
  </si>
  <si>
    <t>2041-11-03</t>
  </si>
  <si>
    <t>The present invention relates to an augmented reality-based metaverse service apparatus and a method of driving the apparatus wherein the augmented reality-based metaverse service apparatus according to an embodiment of the present invention requests a service from a user terminal device located at an arbitrary location. A communication interface unit that provides an augmented reality (AR) screen and provides promotional information for entering the metaverse space at a designated location on the augmented reality screen and grants the right to use the designated location to the purchaser of the purchaser terminal device A control unit that registers address information and publicity information for entering the bus space and guides the user to the metaverse space linked to the selected publicity information based on the registered address information when publicity information on the user terminal device is selected. may include</t>
  </si>
  <si>
    <t>Apparatus for augmented reality-based metaverse service and driving method thereof</t>
  </si>
  <si>
    <t>Kim, Byung Geol</t>
  </si>
  <si>
    <t>KR20210149570A</t>
  </si>
  <si>
    <t>a communication interface unit that provides an augmented reality (AR) screen upon a service request from a user terminal device located at an arbitrary location, and provides promotional information for entering the metaverse space at a designated location on the augmented reality screen; and granting the purchaser of the purchaser terminal device the right to use the designated location to register the address information and the promotional information for entering the metaverse space, and the registered address information when the promotional information on the user terminal device is selected. A control unit for guiding to the metaverse space linked to the selected promotional information based on Augmented reality-based metaverse service device that controls to display on the screen by distinguishing the color of the designated location that can be registered and the designated location that is already registered.</t>
  </si>
  <si>
    <t>a communication interface unit that provides an augmented reality (AR) screen upon a service request from a user terminal device located at an arbitrary location, and provides promotional information for entering the metaverse space at a designated location on the augmented reality screen; and granting the purchaser of the purchaser terminal device the right to use the designated location to register the address information and the promotional information for entering the metaverse space, and the registered address information when the promotional information on the user terminal device is selected. A control unit for guiding to the metaverse space linked to the selected promotional information based on Augmented reality-based metaverse service device that controls to display on the screen by distinguishing the color of the designated location that can be registered and the designated location that is already registered.
delete
a communication interface unit that provides an augmented reality (AR) screen upon a service request from a user terminal device located at an arbitrary location, and provides promotional information for entering the metaverse space at a designated location on the augmented reality screen; and granting the purchaser of the purchaser terminal device the right to use the designated location to register the address information and the promotional information for entering the metaverse space, and the registered address information when the promotional information on the user terminal device is selected. A control unit for guiding to a metaverse space linked to the selected promotional information based on An augmented reality-based metaverse service device that exposes promotional information for entering the metaverse space.
The augmented reality-based metaverse service apparatus of claim 3 , wherein the control unit gives priority to a pre-registered purchaser to notify the extension registration when an end of a payment period for the registered address information is imminent.
According to claim 1, wherein the control unit, when the purchaser who has been given the right to use the designated location on the augmented reality screen transfers the designated location to another purchaser, publicity for entering the metaverse space of the transferred other purchaser Augmented reality-based metaverse service device for exposing information on the augmented reality screen.
a communication interface unit that provides an augmented reality (AR) screen upon a service request from a user terminal device located at an arbitrary location, and provides promotional information for entering the metaverse space at a designated location on the augmented reality screen; and granting the purchaser of the purchaser terminal device the right to use the designated location to register the address information and the promotional information for entering the metaverse space, and the registered address information when the promotional information on the user terminal device is selected. A control unit for guiding to a metaverse space linked to the selected promotional information based on The augmented reality-based metaverse service device for displaying a camera button on the screen so that the control unit can take a picture with the augmented reality show content as a background when the augmented reality show content is exposed.
delete
providing, by a communication interface unit, an augmented reality (AR) screen upon a service request from a user terminal device located at an arbitrary location, and providing promotional information for entering the metaverse space at a designated location on the augmented reality screen;The control unit grants the purchaser of the purchaser terminal device the right to use the designated location to register the address information and the promotional information for entering the metaverse space, and when the promotional information on the user terminal device is selected, the registered address information guiding to a metaverse space linked to the selected promotional information based on address information; and the control unit, when there is a request for registration to be given the right to use the designated location on the augmented reality screen from the purchaser's terminal device, to distinguish the colors of the registered designated locations from the registered designated locations to be displayed on the screen. A method of driving an augmented reality-based metaverse service device, comprising: controlling.</t>
  </si>
  <si>
    <t>G06T01900000 | G06Q03002000 | G06Q05010000</t>
  </si>
  <si>
    <t>KR102388442B1</t>
  </si>
  <si>
    <t>KR102388442 B1</t>
  </si>
  <si>
    <t>I-000225101843</t>
  </si>
  <si>
    <t>20 years from 2021-11-03 (file date)</t>
  </si>
  <si>
    <t>https://patentscout.innography.com/share/cn6I90SdGU8Dj3qP3Pb9rA%3D%3D</t>
  </si>
  <si>
    <t>2022-04-06-DECISION TO GRANT OR REGISTRATION OF PATENT RIGHT|2022-04-15-WRITTEN DECISION TO GRANT</t>
  </si>
  <si>
    <t>https://patentscout.innography.com/share/cn6I90SdGU8Dj3qP3Pb9rA%3D%3D/download</t>
  </si>
  <si>
    <t>https://v3.espacenet.com/publicationDetails/biblio?CC=KR&amp;NR=102388442B1&amp;KC=B1&amp;FT=D&amp;date=20220420&amp;DB=EPODOC&amp;locale=</t>
  </si>
  <si>
    <t>KR20102388442 B1</t>
  </si>
  <si>
    <t>1.  a communication interface unit that provides an augmented reality (AR) screen upon a service request from a user terminal device located at an arbitrary location, and provides promotional information for entering the metaverse space at a designated location on the augmented reality screen; and granting the purchaser of the purchaser terminal device the right to use the designated location to register the address information and the promotional information for entering the metaverse space, and the registered address information when the promotional information on the user terminal device is selected. A control unit for guiding to the metaverse space linked to the selected promotional information based on Augmented reality-based metaverse service device that controls to display on the screen by distinguishing the color of the designated location that can be registered and the designated location that is already registered.</t>
  </si>
  <si>
    <t>3.  a communication interface unit that provides an augmented reality (AR) screen upon a service request from a user terminal device located at an arbitrary location, and provides promotional information for entering the metaverse space at a designated location on the augmented reality screen; and granting the purchaser of the purchaser terminal device the right to use the designated location to register the address information and the promotional information for entering the metaverse space, and the registered address information when the promotional information on the user terminal device is selected. A control unit for guiding to a metaverse space linked to the selected promotional information based on An augmented reality-based metaverse service device that exposes promotional information for entering the metaverse space.</t>
  </si>
  <si>
    <t>6.  a communication interface unit that provides an augmented reality (AR) screen upon a service request from a user terminal device located at an arbitrary location, and provides promotional information for entering the metaverse space at a designated location on the augmented reality screen; and granting the purchaser of the purchaser terminal device the right to use the designated location to register the address information and the promotional information for entering the metaverse space, and the registered address information when the promotional information on the user terminal device is selected. A control unit for guiding to a metaverse space linked to the selected promotional information based on The augmented reality-based metaverse service device for displaying a camera button on the screen so that the control unit can take a picture with the augmented reality show content as a background when the augmented reality show content is exposed.</t>
  </si>
  <si>
    <t>8.  providing, by a communication interface unit, an augmented reality (AR) screen upon a service request from a user terminal device located at an arbitrary location, and providing promotional information for entering the metaverse space at a designated location on the augmented reality screen;The control unit grants the purchaser of the purchaser terminal device the right to use the designated location to register the address information and the promotional information for entering the metaverse space, and when the promotional information on the user terminal device is selected, the registered address information guiding to a metaverse space linked to the selected promotional information based on address information; and the control unit, when there is a request for registration to be given the right to use the designated location on the augmented reality screen from the purchaser's terminal device, to distinguish the colors of the registered designated locations from the registered designated locations to be displayed on the screen. A method of driving an augmented reality-based metaverse service device, comprising: controlling.</t>
  </si>
  <si>
    <t>KR102130750 B1 | KR102236219 B1 | KR20140036555 A | KR20210064472 A</t>
  </si>
  <si>
    <t>2022-07-04</t>
  </si>
  <si>
    <t>2021-11-16</t>
  </si>
  <si>
    <t>2041-11-16</t>
  </si>
  <si>
    <t>In the metaverse according to an embodiment of the present invention the metaverse server displaying status information of an avatar for a virtual counseling environment includes a user database in which user information for each user identifier is stored and counseling content for clients to participate in psychological counseling. A metaverse space generator that creates different types of metaverse spaces according to types an avatar manager that reflects the client&amp;#39;s status information received from the client terminal to the avatars on the metaverse space and a client in a specific location on the metaverse space Each avatar is displayed and when a user is authenticated as a client based on the user database and a metaverse management unit that manipulates an avatar associated with the client among avatars on the metaverse space according to manipulation information received from the client terminal Controls the avatar management unit so that the avatar is displayed on the metaverse space and a controller configured to control the avatar manager to display status information obtained while the counseling content is executed on the metaverse space together with the avatar when the user is authenticated as a counselor.</t>
  </si>
  <si>
    <t>Metaverse server for displaying avatar status information for virtual counseling envuronment</t>
  </si>
  <si>
    <t>M3 Solutions Inc. Ltd.</t>
  </si>
  <si>
    <t>Vsp Beheer B.v.</t>
  </si>
  <si>
    <t>M3</t>
  </si>
  <si>
    <t>KR20210158078A</t>
  </si>
  <si>
    <t>Through the user terminal, a metaverse space that can process attention content based on the real world, a metaverse space that can process memory content based on the real world, and order decision ability content based on the real world are provided to users. Creates and provides a metaverse space in which to proceed, and when a user identifier is received from the user terminal, user information corresponding to the user identifier is extracted from the user database, and based on the user information, if the user is a client, the metaverse space Only the avatar is displayed in the avatar, and if the user is a counselor based on the user information, the client identifier of the client in charge of the counselor is extracted, and the status information corresponding to the client identifier is extracted from the client-specific status information database to obtain the avatar in the metaverse space. and extracting the status information of each client associated with the avatar participating in the metaverse space based on the client-specific status information database,By comparing the status information, avatars of clients whose difference values are above or below a specific value are grouped into groups so that the avatars can participate in counseling content in the metaverse space in a group unit, and the avatars received from the client terminal If the manipulation information of the avatar is movement information, the avatar is moved according to the movement information so that the counseling content can be used. The type, progress, performance achievement, and concentration of the counseling content being performed in the metaverse space are analyzed to store the counseling information in the state information database for each client, and the avatar of the client in charge of the counselor is in charge of another counselor. If it is determined that the avatar is related to the client's avatar and receives an avatar status information request message from the counselor terminal, the avatar status information request message is provided to another counselor's terminal;a metaverse server that, upon receiving an affirmative response message to the avatar status information request message from another counselor terminal, extracts status information corresponding to the client identifier from the client status information database and displays the extracted status information together with the avatar in the metaverse space;Each of the first status information when grouped into a group having status information similar to that of the client and the second status information when grouped into a group having status information different from the client corresponds to a standard value range, and the first status information and the a counselor terminal that compares each of the second state information and determines that if the difference is less than or equal to a specific value, mind control is possible regardless of the situation; and manipulation information indicating movement information of the avatar in the metaverse space and manipulation information instructing a request for manipulation of consultation contents by the avatar in the metaverse space to the metaverse server, A system for displaying status information of an avatar for a virtual counseling environment in the metaverse, comprising: a client terminal connected to a bus server and providing the biometric information sensed through the biometric sensor to the metaverse server.</t>
  </si>
  <si>
    <t>Through the user terminal, a metaverse space that can process attention content based on the real world, a metaverse space that can process memory content based on the real world, and order decision ability content based on the real world are provided to users. Creates and provides a metaverse space in which to proceed, and when a user identifier is received from the user terminal, user information corresponding to the user identifier is extracted from the user database, and based on the user information, if the user is a client, the metaverse space Only the avatar is displayed in the avatar, and if the user is a counselor based on the user information, the client identifier of the client in charge of the counselor is extracted, and the status information corresponding to the client identifier is extracted from the client-specific status information database to obtain the avatar in the metaverse space. and extracting the status information of each client associated with the avatar participating in the metaverse space based on the client-specific status information database,
By comparing the status information, avatars of clients whose difference values are above or below a specific value are grouped into groups so that the avatars can participate in counseling content in the metaverse space in a group unit, and the avatars received from the client terminal If the manipulation information of the avatar is movement information, the avatar is moved according to the movement information so that the counseling content can be used. The type, progress, performance achievement, and concentration of the counseling content being performed in the metaverse space are analyzed to store the counseling information in the state information database for each client, and the avatar of the client in charge of the counselor is in charge of another counselor. If it is determined that the avatar is related to the client's avatar and receives an avatar status information request message from the counselor terminal, the avatar status information request message is provided to another counselor's terminal;
a metaverse server that, upon receiving an affirmative response message to the avatar status information request message from another counselor terminal, extracts status information corresponding to the client identifier from the client status information database and displays the extracted status information together with the avatar in the metaverse space;Each of the first status information when grouped into a group having status information similar to that of the client and the second status information when grouped into a group having status information different from the client corresponds to a standard value range, and the first status information and the a counselor terminal that compares each of the second state information and determines that if the difference is less than or equal to a specific value, mind control is possible regardless of the situation; and manipulation information indicating movement information of the avatar in the metaverse space and manipulation information instructing a request for manipulation of consultation contents by the avatar in the metaverse space to the metaverse server, A system for displaying status information of an avatar for a virtual counseling environment in the metaverse, comprising: a client terminal connected to a bus server and providing the biometric information sensed through the biometric sensor to the metaverse server.
delete</t>
  </si>
  <si>
    <t>Lee, Sun Woo|Seo, Ju Hwan|Jung, Jae Lee</t>
  </si>
  <si>
    <t>G16H05020000</t>
  </si>
  <si>
    <t>G16H05020000 | G06Q05010000 | G16H01020000 | G16H02070000 | G16H08000000</t>
  </si>
  <si>
    <t>KR102415719B1</t>
  </si>
  <si>
    <t>KR102415719 B1</t>
  </si>
  <si>
    <t>I-000227795329</t>
  </si>
  <si>
    <t>20 years from 2021-11-16 (file date)</t>
  </si>
  <si>
    <t>https://patentscout.innography.com/share/hMfqMmDeDg43xCEQqIvqYQ%3D%3D</t>
  </si>
  <si>
    <t>2022-06-28-DECISION TO GRANT OR REGISTRATION OF PATENT RIGHT|2022-06-28-WRITTEN DECISION TO GRANT</t>
  </si>
  <si>
    <t>https://patentscout.innography.com/share/hMfqMmDeDg43xCEQqIvqYQ%3D%3D/download</t>
  </si>
  <si>
    <t>https://v3.espacenet.com/publicationDetails/biblio?CC=KR&amp;NR=102415719B1&amp;KC=B1&amp;FT=D&amp;date=20220704&amp;DB=EPODOC&amp;locale=</t>
  </si>
  <si>
    <t>KR20102415719 B1</t>
  </si>
  <si>
    <t>1.  Through the user terminal, a metaverse space that can process attention content based on the real world, a metaverse space that can process memory content based on the real world, and order decision ability content based on the real world are provided to users. Creates and provides a metaverse space in which to proceed, and when a user identifier is received from the user terminal, user information corresponding to the user identifier is extracted from the user database, and based on the user information, if the user is a client, the metaverse space Only the avatar is displayed in the avatar, and if the user is a counselor based on the user information, the client identifier of the client in charge of the counselor is extracted, and the status information corresponding to the client identifier is extracted from the client-specific status information database to obtain the avatar in the metaverse space. and extracting the status information of each client associated with the avatar participating in the metaverse space based on the client-specific status information database,
By comparing the status information, avatars of clients whose difference values are above or below a specific value are grouped into groups so that the avatars can participate in counseling content in the metaverse space in a group unit, and the avatars received from the client terminal If the manipulation information of the avatar is movement information, the avatar is moved according to the movement information so that the counseling content can be used. The type, progress, performance achievement, and concentration of the counseling content being performed in the metaverse space are analyzed to store the counseling information in the state information database for each client, and the avatar of the client in charge of the counselor is in charge of another counselor. If it is determined that the avatar is related to the client's avatar and receives an avatar status information request message from the counselor terminal, the avatar status information request message is provided to another counselor's terminal;
a metaverse server that, upon receiving an affirmative response message to the avatar status information request message from another counselor terminal, extracts status information corresponding to the client identifier from the client status information database and displays the extracted status information together with the avatar in the metaverse space;Each of the first status information when grouped into a group having status information similar to that of the client and the second status information when grouped into a group having status information different from the client corresponds to a standard value range, and the first status information and the a counselor terminal that compares each of the second state information and determines that if the difference is less than or equal to a specific value, mind control is possible regardless of the situation; and manipulation information indicating movement information of the avatar in the metaverse space and manipulation information instructing a request for manipulation of consultation contents by the avatar in the metaverse space to the metaverse server, A system for displaying status information of an avatar for a virtual counseling environment in the metaverse, comprising: a client terminal connected to a bus server and providing the biometric information sensed through the biometric sensor to the metaverse server.</t>
  </si>
  <si>
    <t>KR101901261 B1 | KR101943585 B1 | KR102030350 B1 | KR102130750 B1 | KR102343582 B1 | KR20140036555 A | KR20200101490 A | KR20210022944 A</t>
  </si>
  <si>
    <t>2022-09-20</t>
  </si>
  <si>
    <t>The present invention relates to a system and method for providing forgery and falsification verification of avatar information for avatar creation in a metaverse platform receiving biometric information activity information and medical information of a user through a VR device and based on this An avatar can be created in virtual reality information about the avatar is registered in the NFT and information about the avatar is provided to the metaverse platform on the metaverse platform based on the avatar hash information registered in the NFT. The present invention relates to a system and method for verifying forgery and falsification of the received information about the avatar and to provide forgery verification for the information of the avatar.</t>
  </si>
  <si>
    <t>System and method for providing forgery and falsification verification of avatar information for avatar generation on the metaverse platform</t>
  </si>
  <si>
    <t>avatar|forgery|falsification|aging information|hash value</t>
  </si>
  <si>
    <t>KR20220027137A</t>
  </si>
  <si>
    <t>A system for providing forgery and falsification verification of avatar information for avatar creation in a metaverse platform, comprising: an HMD mounted to a user to provide images and sounds for virtual reality, and to detect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an NFT for the avatar; and a metaverse platform that receives information about the avatar from the avatar management unit and applies the information about the avatar to the user's activities in the metaverse platform, wherein the avatar management unit comprises: a VR device worn by the user; a VR service unit for performing communication, providing information about virtual reality to the VR device, and providing a plurality of virtual reality contents to the user by generating an avatar of the user;NFT by transmitting original avatar hash information including object information related to the unique properties of the avatar, input information related to the information input by the user, and original information related to the original state of the avatar to an external blockchain network. an original avatar NFT providing unit that requests generation and provides the generated NFT to the user;an avatar update unit that provides information on the avatar to the metaverse platform, receives interaction information that a user has interacted with using the avatar on the metaverse platform, and updates the avatar; and externally updated avatar hash information including object information related to unique attributes of the updated avatar, input information related to information input by the user, and update information related to the current and previous versions of the updated avatar. an updated avatar NFT provider that transmits to the blockchain network of Based on the first hash value of, a second hash value of the original avatar information received from the avatar management unit is compared and verified, and only when the second hash value is verified, the original avatar received from the avatar management unit is verified. an original avatar information verification unit that applies information on the metaverse platform; and an interaction information generating unit that generates interaction information that has been interacted with according to a user's activity in the metaverse platform, wherein the VR service unit is available only to the user and provides the plurality of virtual reality contents. A virtual reality realization unit that implements; a VR communication unit that communicates with the VR device to exchange information; the user's biometric information received from the VR device;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biometric information is transmitted through the camera device. input image information; EEG information of the user measured by the EEG meter; and the user's pulse information measured by the pulse meter, wherein the avatar generator derives respective appearance feature information from a plurality of the image information, and averages the derived plurality of appearance feature information to obtain a one-dimensional vector a basic appearance determining unit for deriving a character determination parameter in the form of, and determining a basic appearance of the avatar based on the character determination parameter;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 system that does.</t>
  </si>
  <si>
    <t>A system for providing forgery and falsification verification of avatar information for avatar creation in a metaverse platform, comprising: an HMD mounted to a user to provide images and sounds for virtual reality, and to detect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an NFT for the avatar; and a metaverse platform that receives information about the avatar from the avatar management unit and applies the information about the avatar to the user's activities in the metaverse platform, wherein the avatar management unit comprises: a VR device worn by the user; a VR service unit for performing communication, providing information about virtual reality to the VR device, and providing a plurality of virtual reality contents to the user by generating an avatar of the user;NFT by transmitting original avatar hash information including object information related to the unique properties of the avatar, input information related to the information input by the user, and original information related to the original state of the avatar to an external blockchain network. an original avatar NFT providing unit that requests generation and provides the generated NFT to the user;an avatar update unit that provides information on the avatar to the metaverse platform, receives interaction information that a user has interacted with using the avatar on the metaverse platform, and updates the avatar; and externally updated avatar hash information including object information related to unique attributes of the updated avatar, input information related to information input by the user, and update information related to the current and previous versions of the updated avatar. an updated avatar NFT provider that transmits to the blockchain network of Based on the first hash value of, a second hash value of the original avatar information received from the avatar management unit is compared and verified, and only when the second hash value is verified, the original avatar received from the avatar management unit is verified. an original avatar information verification unit that applies information on the metaverse platform; and an interaction information generating unit that generates interaction information that has been interacted with according to a user's activity in the metaverse platform, wherein the VR service unit is available only to the user and provides the plurality of virtual reality contents. A virtual reality realization unit that implements; a VR communication unit that communicates with the VR device to exchange information; the user's biometric information received from the VR device;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biometric information is transmitted through the camera device. input image information; EEG information of the user measured by the EEG meter; and the user's pulse information measured by the pulse meter, wherein the avatar generator derives respective appearance feature information from a plurality of the image information, and averages the derived plurality of appearance feature information to obtain a one-dimensional vector a basic appearance determining unit for deriving a character determination parameter in the form of, and determining a basic appearance of the avatar based on the character determination parameter;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 system that does.
delete
The method according to claim 1, wherein the original avatar information verification unit, when receiving the information on the original avatar from the avatar management unit, receiving the original avatar information receiving step of receiving information on the original avatar from the avatar management unit;an original avatar NFT hash value receiving step of receiving a first hash value of the original avatar hash information registered in the NFT of the original avatar;an original avatar information hash value deriving step of deriving a second hash value by applying a hash function to the received information on the original avatar;a first comparison verification step of verifying forgery by comparing the first hash value and the second hash value; and an original avatar information application step of applying the information on the original avatar received from the avatar management unit to the activity of the user in the corresponding metaverse platform only when the first hash value and the second hash value are the same;, a system that provides forgery verification of the avatar's information.
The method according to claim 1, wherein the metaverse platform further comprises an updated avatar information verification unit, wherein the updated avatar information verification unit receives the updated avatar information from the avatar management unit, an updated avatar information receiving step of receiving information about the avatar;an updated avatar NFT hash value receiving step of receiving a third hash value of the updated avatar hash information registered in the NFT of the updated avatar;an updated avatar information hash value deriving step of deriving a fourth hash value by applying a hash function to the received information on the updated avatar;a second comparison verification step of verifying forgery by comparing the third hash value and the fourth hash value; and an updated avatar information application step of applying the updated avatar information received from the avatar management unit to the user's activity in the corresponding metaverse platform only when the third hash value and the fourth hash value are the same; A system that provides forgery verification of the avatar's information.
The method according to claim 1, wherein the avatar update unit provides the avatar information providing step of providing information on the avatar to the metaverse platform;an interaction information receiving step of receiving interaction information corresponding to the avatar from the metaverse platform; and an avatar update step of extracting avatar-related information from the interaction information and updating the avatar based on the avatar-related information.
The method according to claim 5, wherein in the step of updating the avatar, when the game is provided on the metaverse platform, the aging information is adjusted based on level-up information, the number of collected items and the number of quest cleared, and based on the aging information When the avatar is updated with respect to the skin condition information of the avatar, hair condition information, the degree of curvature of the skeleton, the inclination of the eyes and the mouth shape, and when the game is provided on the metaverse platform, the usage time, the number of skills acquired and the items to be worn A system for providing forgery verification for avatar information, which adjusts the moving speed based on the number and updates the avatar based on the moving speed.
delete
delete
delete
The method according to claim 1, wherein the first content provided to the user by the first content providing unit is content for strengthening the user's cognitive ability and concentration, including finding a wrong picture, arithmetic, and jigsaw puzzle, and the second content The second content provided to the user by the content providing unit is content capable of performing physical activity strengthening training of the user including walking, stretching and squatting, and the third content provided to the user by the third content providing unit 3 content, the user performs intensive training on the injured body part, or performs intensive training on cognitive ability enhancement including the user's memory, judgment, language ability, and ability to grasp space and time. A system that provides forgery and falsification verification of avatar information, which is content for training users in weak areas.
The method according to claim 1, wherein the aging information control unit, Concentration score calculating step of calculating an intensity score based on the user's EEG information measured while the user performs the first content;an activity score calculating step of calculating an activity score based on the user's pulse information and EMG information measured while the user performs the second content;an execution result score calculating step of calculating a first score, a second score, and a third score, respectively, based on the execution result of the first content, the execution result of the second content, and the execution result of the third content; and an aging information reduction step of reducing aging information based on the sum of the first score, the second score, the third score, the concentration score, and the activity score. A system that provides forgery verification.
A method of providing forgery verification for information on avatars implemented in a system for providing forgery verification of avatar information for avatar creation in a metaverse platform, the system comprising: a virtual reality image mounted on a user; and an HMD that provides a sound and senses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an NFT for the avatar; and a metaverse platform that receives information about the avatar from the avatar management unit and applies the information about the avatar to the user's activities in the metaverse platform, wherein the method includes: by the avatar management unit, the user a VR service step of communicating with a VR device to be worn, providing information about virtual reality to the VR device, and providing a plurality of virtual reality contents to the user by generating an avatar of the user;The avatar management unit transmits, by the avatar management unit, original avatar hash information including object information related to unique properties of the avatar, input information related to information input by the user, and original information related to the original state of the avatar to an external block. an original avatar NFT providing step of requesting to generate an NFT by transmitting to the chain network, and providing the generated NFT to the user;An avatar update step of providing, by the avatar management unit, information about the avatar to the metaverse platform, receiving interaction information that the user has interacted with using the avatar on the metaverse platform, and updating the avatar;The updated avatar including, by the avatar management unit, object information related to a unique attribute of the updated avatar, input information related to information input by the user, and update information related to the current and previous versions of the updated avatar. an update avatar NFT providing step of transmitting hash information to an external block chain network to request NFT generation and providing to the user;Based on the first hash value of the original avatar hash information registered in the NFT of the original avatar, the metaverse platform compares and verifies the second hash value of the avatar information received from the avatar management unit Thus, only when the second hash value is verified, the original avatar verification step of applying the information on the avatar received from the avatar management unit in the corresponding metaverse platform; and an interaction information generation step of generating interaction information interacted with according to a user's activity in the metaverse platform, wherein the VR service step is available only to the user and provides a plurality of virtual reality contents. Realizing reality, virtual reality implementation step; a VR communication step of exchanging information by communicating with the VR device; the user's biometric information received from the VR device; and a user information input step of receiving user information including; and activity information and medical information received from the user's smartphone; an avatar generation step of generating an avatar of the user based on the user information in the virtual reality implemented by the virtual reality implementation step; and a VR content providing step of providing the plurality of contents to the avatar created in the virtual reality, and updating the appearance of the avatar whenever the avatar is performed, wherein the biometric information is transmitted through the camera device input image information; EEG information of the user measured by the EEG meter; and the pulse information of the user measured by the pulse meter, wherein the avatar generation step is performed by deriving each external feature information from a plurality of the image information, and averaging the derived plurality of external feature information to obtain a one-dimensional a basic appearance determination step of deriving a character determination parameter in the form of a vector and determining a basic appearance of the avatar based on the character determination parameter; an aging information determining step of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determination step;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step of determining the moving speed of the avatar in this way, wherein the aging information determining step includes the user's skin condition information, hair condition information, and a bent skeleton from the image information input through the camera device. a first aging information step of deriving first aging information including a degree;a second aging information step of deriving second aging information including the stability of the EEG and the concentration of the user from the EEG information of the user measured by the EEG;a third aging information step of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Comprehensive judgment module step of deriving a; including, wherein the VR content providing step is to provide content for which the difficulty is determined based on the aging information of the user, and the user's cognitive ability and concentration reinforcement training can be performed, a first content providing step; a second content providing step of determining a difficulty level based on the activity information of the corresponding user and providing content capable of performing the user's physical activity reinforcement training; a third content providing step of providing content in which a type of content is determined based on the disease information of the user and training for a body part or cognitive ability requiring rehabilitation training is performed; The result of performing the contents provided in the first contents providing step, the second contents providing step, and the third contents providing step, EEG information measured by the EEG measuring device during the execution period for the contents, and An aging information control step of calculating one or more scores based on the pulse information measured by the pulse meter, and adjusting the aging information according to the one or more scores; and an avatar appearance update step of updating the appearance of the user's avatar by adjusting the first graphic effect according to the adjusted aging information by the aging information adjustment step; How to.</t>
  </si>
  <si>
    <t>G06T01340000 | A61B00500000 | A61B00502400 | A61B00510700 | A61B00511000 | A61B00529100 | G02B02701000 | G06F02144000 | G06F02164000 | G06Q02036000 | G06T01900000</t>
  </si>
  <si>
    <t>KR102445135B1</t>
  </si>
  <si>
    <t>KR102445135 B1</t>
  </si>
  <si>
    <t>I-000230623784</t>
  </si>
  <si>
    <t>https://patentscout.innography.com/share/IgOzTly83LfOjSBUUp3CuQ%3D%3D</t>
  </si>
  <si>
    <t>https://patentscout.innography.com/share/IgOzTly83LfOjSBUUp3CuQ%3D%3D/download</t>
  </si>
  <si>
    <t>https://v3.espacenet.com/publicationDetails/biblio?CC=KR&amp;NR=102445135B1&amp;KC=B1&amp;FT=D&amp;date=20220920&amp;DB=EPODOC&amp;locale=</t>
  </si>
  <si>
    <t>KR20102445135 B1</t>
  </si>
  <si>
    <t>1.  A system for providing forgery and falsification verification of avatar information for avatar creation in a metaverse platform, comprising: an HMD mounted to a user to provide images and sounds for virtual reality, and to detect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an NFT for the avatar; and a metaverse platform that receives information about the avatar from the avatar management unit and applies the information about the avatar to the user's activities in the metaverse platform, wherein the avatar management unit comprises: a VR device worn by the user; a VR service unit for performing communication, providing information about virtual reality to the VR device, and providing a plurality of virtual reality contents to the user by generating an avatar of the user;NFT by transmitting original avatar hash information including object information related to the unique properties of the avatar, input information related to the information input by the user, and original information related to the original state of the avatar to an external blockchain network. an original avatar NFT providing unit that requests generation and provides the generated NFT to the user;an avatar update unit that provides information on the avatar to the metaverse platform, receives interaction information that a user has interacted with using the avatar on the metaverse platform, and updates the avatar; and externally updated avatar hash information including object information related to unique attributes of the updated avatar, input information related to information input by the user, and update information related to the current and previous versions of the updated avatar. an updated avatar NFT provider that transmits to the blockchain network of Based on the first hash value of, a second hash value of the original avatar information received from the avatar management unit is compared and verified, and only when the second hash value is verified, the original avatar received from the avatar management unit is verified. an original avatar information verification unit that applies information on the metaverse platform; and an interaction information generating unit that generates interaction information that has been interacted with according to a user's activity in the metaverse platform, wherein the VR service unit is available only to the user and provides the plurality of virtual reality contents. A virtual reality realization unit that implements; a VR communication unit that communicates with the VR device to exchange information; the user's biometric information received from the VR device;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biometric information is transmitted through the camera device. input image information; EEG information of the user measured by the EEG meter; and the user's pulse information measured by the pulse meter, wherein the avatar generator derives respective appearance feature information from a plurality of the image information, and averages the derived plurality of appearance feature information to obtain a one-dimensional vector a basic appearance determining unit for deriving a character determination parameter in the form of, and determining a basic appearance of the avatar based on the character determination parameter;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 system that does.</t>
  </si>
  <si>
    <t>12.  A method of providing forgery verification for information on avatars implemented in a system for providing forgery verification of avatar information for avatar creation in a metaverse platform, the system comprising: a virtual reality image mounted on a user; and an HMD that provides a sound and senses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an NFT for the avatar; and a metaverse platform that receives information about the avatar from the avatar management unit and applies the information about the avatar to the user's activities in the metaverse platform, wherein the method includes: by the avatar management unit, the user a VR service step of communicating with a VR device to be worn, providing information about virtual reality to the VR device, and providing a plurality of virtual reality contents to the user by generating an avatar of the user;The avatar management unit transmits, by the avatar management unit, original avatar hash information including object information related to unique properties of the avatar, input information related to information input by the user, and original information related to the original state of the avatar to an external block. an original avatar NFT providing step of requesting to generate an NFT by transmitting to the chain network, and providing the generated NFT to the user;An avatar update step of providing, by the avatar management unit, information about the avatar to the metaverse platform, receiving interaction information that the user has interacted with using the avatar on the metaverse platform, and updating the avatar;The updated avatar including, by the avatar management unit, object information related to a unique attribute of the updated avatar, input information related to information input by the user, and update information related to the current and previous versions of the updated avatar. an update avatar NFT providing step of transmitting hash information to an external block chain network to request NFT generation and providing to the user;Based on the first hash value of the original avatar hash information registered in the NFT of the original avatar, the metaverse platform compares and verifies the second hash value of the avatar information received from the avatar management unit Thus, only when the second hash value is verified, the original avatar verification step of applying the information on the avatar received from the avatar management unit in the corresponding metaverse platform; and an interaction information generation step of generating interaction information interacted with according to a user's activity in the metaverse platform, wherein the VR service step is available only to the user and provides a plurality of virtual reality contents. Realizing reality, virtual reality implementation step; a VR communication step of exchanging information by communicating with the VR device; the user's biometric information received from the VR device; and a user information input step of receiving user information including; and activity information and medical information received from the user's smartphone; an avatar generation step of generating an avatar of the user based on the user information in the virtual reality implemented by the virtual reality implementation step; and a VR content providing step of providing the plurality of contents to the avatar created in the virtual reality, and updating the appearance of the avatar whenever the avatar is performed, wherein the biometric information is transmitted through the camera device input image information; EEG information of the user measured by the EEG meter; and the pulse information of the user measured by the pulse meter, wherein the avatar generation step is performed by deriving each external feature information from a plurality of the image information, and averaging the derived plurality of external feature information to obtain a one-dimensional a basic appearance determination step of deriving a character determination parameter in the form of a vector and determining a basic appearance of the avatar based on the character determination parameter; an aging information determining step of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determination step;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step of determining the moving speed of the avatar in this way, wherein the aging information determining step includes the user's skin condition information, hair condition information, and a bent skeleton from the image information input through the camera device. a first aging information step of deriving first aging information including a degree;a second aging information step of deriving second aging information including the stability of the EEG and the concentration of the user from the EEG information of the user measured by the EEG;a third aging information step of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Comprehensive judgment module step of deriving a; including, wherein the VR content providing step is to provide content for which the difficulty is determined based on the aging information of the user, and the user's cognitive ability and concentration reinforcement training can be performed, a first content providing step; a second content providing step of determining a difficulty level based on the activity information of the corresponding user and providing content capable of performing the user's physical activity reinforcement training; a third content providing step of providing content in which a type of content is determined based on the disease information of the user and training for a body part or cognitive ability requiring rehabilitation training is performed; The result of performing the contents provided in the first contents providing step, the second contents providing step, and the third contents providing step, EEG information measured by the EEG measuring device during the execution period for the contents, and An aging information control step of calculating one or more scores based on the pulse information measured by the pulse meter, and adjusting the aging information according to the one or more scores; and an avatar appearance update step of updating the appearance of the user's avatar by adjusting the first graphic effect according to the adjusted aging information by the aging information adjustment step; How to.</t>
  </si>
  <si>
    <t>KR20030017850 A</t>
  </si>
  <si>
    <t>2022-09-12</t>
  </si>
  <si>
    <t>2042-09-12</t>
  </si>
  <si>
    <t>The present invention includes: an image providing apparatus including a 360-degree camera acquiring an image of a space associated with educational content through the 360-degree camera and providing image data as a background for implementing a metaverse space; a database providing data for a plurality of objects related to the educational content; an educational content providing device that acquires real-time video and audio of an instructor through a camera and a microphone while the metaverse space is displayed through the display; a user device implemented as an electronic device in a form that the user can wear; and a metaverse space implementation apparatus for implementing a metaverse space for education based on a signal information or data received from the image providing apparatus the database the educational content providing apparatus and the user device; The bus space realization device receives the image data from the image providing device processes the image data of the image captured by the 360-degree camera to form the educational metaverse space and installs a screen in the metaverse space. provide receive data on the plurality of objects from the database create a moving object in the metaverse space move the generated moving object receive educational content from the educational content providing device Provides real-time video and audio of the instructor through the screen receives a signal related to an avatar operation from the user device and based on the received signal a processor that generates an avatar in a metaverse space and controls the movement of the avatar wherein the processor moves the moving object to interact with the avatar and when the avatar approaches the moving object the Move the moving object further away from the avatar and control the movement of the moving object to interact with the signal generated by the user device. When a signal corresponding to the correct answer to the presented quiz is received from the user device A medium that controls the moving object to access the avatar controls the moving object to move in synchronization with the avatar and the screen provides educational content received from the educational content providing device in the metaverse space As such the processor is generated by utilizing the sky in the metaverse space and obtains education content information and education target information of the education content received from the education content providing device When the educational content is an image that describes an English word a word to be explained is extracted an object corresponding to the English word is searched for in the database and the searched object is provided in the metaverse space; If the educational content is an English education video set in the dinosaur era a meta that extracts a dinosaur from the educational content searches for an object corresponding to the dinosaur in the database and provides the searched object in the metaverse space of the dinosaur era It relates to an education system that conducts education within a bus space.</t>
  </si>
  <si>
    <t>Non-face-to-face real-time education method that uses 360-degree images and hmd, and is conducted within the metaverse space</t>
  </si>
  <si>
    <t>Eduson</t>
  </si>
  <si>
    <t>EDUSON</t>
  </si>
  <si>
    <t>KR20220114605A</t>
  </si>
  <si>
    <t>an image providing device including a 360-degree camera, acquiring an image of a space related to educational content through the 360-degree camera, and providing image data as a background for implementing a metaverse space;a database providing data for a plurality of objects related to the educational content;an educational content providing device that acquires real-time video and audio of an instructor through a camera and a microphone while the metaverse space is displayed through the display;a user device implemented as an electronic device in a form that the user can wear; and a metaverse space implementation apparatus for implementing a metaverse space for education based on a signal, information, or data received from the image providing apparatus, the database, the educational content providing apparatus, and the user device; The bus space realization device receives the image data from the image providing device, processes the image data of the image captured by the 360-degree camera to form the educational metaverse space, and installs a screen in the metaverse space. provide, receive data on the plurality of objects from the database, create a moving object in the metaverse space, move the generated moving object, receive educational content from the educational content providing device, Provides real-time video and audio of the instructor through the screen, receives a signal related to an avatar operation from the user device, and based on the received signal, a processor that generates an avatar in a metaverse space and controls the movement of the avatar, wherein the processor moves the moving object to interact with the avatar, and when the avatar approaches the moving object, the Move the moving object further away from the avatar, and control the movement of the moving object to interact with the signal generated by the user device. When a signal corresponding to the correct answer to the presented quiz is received from the user device, A medium that controls the moving object to access the avatar, controls the moving object to move in synchronization with the avatar, and the screen provides educational content received from the educational content providing device in the metaverse space As such, the processor is generated by utilizing the sky in the metaverse space, and obtains education content information and education target information of the education content received from the education content providing device, When the educational content is an image that describes an English word, a word to be explained is extracted, an object corresponding to the English word is searched for in the database, and the searched object is provided in the metaverse space, and the When the educational content is an English educational video set in the dinosaur era, a meta that extracts a dinosaur from the educational content, searches for an object corresponding to the dinosaur in the database, and provides the searched object in the metaverse space of the dinosaur era An educational system that conducts training within the bus space.</t>
  </si>
  <si>
    <t>Son, Nam Yong</t>
  </si>
  <si>
    <t>G06Q0050200000 | G06F0016400000 | G06Q0050100000 | G06T0013400000</t>
  </si>
  <si>
    <t>G06Q05020000 | G06F00301000 | G06F01640000 | G06Q05010000 | G06T01340000 | G06T01900000 | G09B00506000 | G09B01906000</t>
  </si>
  <si>
    <t>KR20220145997A|KR20220146366A</t>
  </si>
  <si>
    <t>KR20220145997 A | KR20220146366 A</t>
  </si>
  <si>
    <t>I-000232499356</t>
  </si>
  <si>
    <t>20 years from 2022-09-12 (file date)</t>
  </si>
  <si>
    <t>https://patentscout.innography.com/share/8aF_sD_sXxYcF2-MojiJoA%3D%3D</t>
  </si>
  <si>
    <t>2022-09-12-DIVISIONAL APPLICATION OF PATENT</t>
  </si>
  <si>
    <t>https://patentscout.innography.com/share/8aF_sD_sXxYcF2-MojiJoA%3D%3D/download</t>
  </si>
  <si>
    <t>https://v3.espacenet.com/publicationDetails/biblio?CC=KR&amp;NR=20220146366A&amp;KC=A&amp;FT=D&amp;date=20221101&amp;DB=EPODOC&amp;locale=</t>
  </si>
  <si>
    <t>KR20220146366 A</t>
  </si>
  <si>
    <t>KR20220145997 A</t>
  </si>
  <si>
    <t>1.  an image providing device including a 360 -degree camera, acquiring an image of a space related to educational content through the 360 -degree camera, and providing image data as a background for implementing a metaverse space;a database providing data for a plurality of objects related to the educational content;an educational content providing device that acquires real-time video and audio of an instructor through a camera and a microphone while the metaverse space is displayed through the display;a user device implemented as an electronic device in a form that the user can wear; and a metaverse space implementation apparatus for implementing a metaverse space for education based on a signal, information, or data received from the image providing apparatus, the database, the educational content providing apparatus, and the user device; The bus space realization device receives the image data from the image providing device, processes the image data of the image captured by the 360 -degree camera to form the educational metaverse space, and installs a screen in the metaverse space. provide, receive data on the plurality of objects from the database, create a moving object in the metaverse space, move the generated moving object, receive educational content from the educational content providing device, Provides real-time video and audio of the instructor through the screen, receives a signal related to an avatar operation from the user device, and based on the received signal, a processor that generates an avatar in a metaverse space and controls the movement of the avatar, wherein the processor moves the moving object to interact with the avatar, and when the avatar approaches the moving object, the Move the moving object further away from the avatar, and control the movement of the moving object to interact with the signal generated by the user device. When a signal corresponding to the correct answer to the presented quiz is received from the user device, A medium that controls the moving object to access the avatar, controls the moving object to move in synchronization with the avatar, and the screen provides educational content received from the educational content providing device in the metaverse space As such, the processor is generated by utilizing the sky in the metaverse space, and obtains education content information and education target information of the education content received from the education content providing device, When the educational content is an image that describes an English word, a word to be explained is extracted, an object corresponding to the English word is searched for in the database, and the searched object is provided in the metaverse space, and the When the educational content is an English educational video set in the dinosaur era, a meta that extracts a dinosaur from the educational content, searches for an object corresponding to the dinosaur in the database, and provides the searched object in the metaverse space of the dinosaur era An educational system that conducts training within the bus space.</t>
  </si>
  <si>
    <t>2022-08-29</t>
  </si>
  <si>
    <t>2042-08-29</t>
  </si>
  <si>
    <t>The invention claims a method a device and an equipment for processing cross-metaverse item and a storage medium the method comprises: when detecting a sale request for an item on the public chain in the first virtual world determining the transaction chain of the second virtual world that matches with the item; if the item is not on the chain in the transaction chain then creating a non-fungible token product of the item on the transaction chain and creating a smart contract on the transaction chain of the non-fungible token product. The invention can realize the item transfer among multiple virtual worlds.</t>
  </si>
  <si>
    <t>Method, device and equipment for processing cross-metaverse item and storage medium</t>
  </si>
  <si>
    <t>transaction chain|virtual world|non-fungible token|intelligent contract</t>
  </si>
  <si>
    <t>CN202211040966A</t>
  </si>
  <si>
    <t>1. A method for processing cross-metaverse item, wherein the method comprises: when detecting the sale request of the first virtual world on the article on the public chain, determining the transaction chain of the second virtual world matched with the article; if the article in the transaction chain is not in the chain state, then creating a non-homogeneous pass product of the article on the transaction chain, and creating an intelligent contract of the non-homogeneous pass product on the transaction chain.</t>
  </si>
  <si>
    <t>1. A method for processing cross-metaverse item, wherein the method comprises: when detecting the sale request of the first virtual world on the article on the public chain, determining the transaction chain of the second virtual world matched with the article; if the article in the transaction chain is not in the chain state, then creating a non-homogeneous pass product of the article on the transaction chain, and creating an intelligent contract of the non-homogeneous pass product on the transaction chain.2. The method for processing cross-metaverse item according to claim 1, wherein after the step of determining if the transaction chain of the second virtual world matches with the item, the method further comprises: if the article is in the upper chain state of the transaction chain, updating the sale state of the non-homogeneous pass product is to-be-transaction state.3. The method for processing cross-metaverse item according to claim 1, wherein the step of determining the transaction chain of the second virtual world matches with the item comprises the following steps: obtaining the intelligent contract created when the article is on the public chain upper chain, the intelligent contract comprises an adaptation protocol; according to the adaptation protocol, determining the transaction chain of the second virtual world matched with the article; The second virtual world is other virtual world other than the first virtual world.4. The method for processing cross-metaverse item according to claim 3, wherein the step of determining the transaction chain of the second virtual world matches with the item according to the adaptation protocol comprises: determining a first adaptation level of the article according to the adaptation protocol, and a second adaptation level of the transaction chain; if the second adaptation level is lower than the first adaptation level, determining that the transaction chain corresponding to the second adaptation level is the transaction chain of the second virtual world matched with the article.5. The method for processing cross-metaverse item according to claim 1, wherein if the item is in an unchaining state in the transaction chain, then creating a non-fungible token product of the item on the transaction chain, and after the step of creating the intelligent contract on the transaction chain of the non-homogeneous through certificate product, further comprising: obtaining intelligent contract created when the article chain on the transaction chain, the intelligent contract comprises a purchase protocol; detecting the second virtual world on the transaction chain of the non-homogeneous certificate product purchase request, according to the purchase protocol for purchase of the non-homogeneous through certificate product; if the non-homogeneous verification product purchase is successful, then updating the transaction information of the article on the public chain according to the transfer protocol.6. The method for processing cross-metaverse item according to claim 5, wherein if the item is purchased successfully, the step of updating the transaction information of the item according to the transfer protocol comprises: obtaining the intelligent contract created when the article chain on the public chain, the intelligent contract comprises a transfer protocol; according to the transfer protocol, performing object transfer between the first virtual world and the second virtual world; updating the transaction information of the article on the public chain; and updating the selling state of the non-homogeneous pass product on the transaction chain.7. The method for processing cross-metaverse item according to claim 1, wherein the step of detecting the first virtual world to trigger the sale request of the item on the public chain, before the step of determining if the transaction chain of the second virtual world matches with the article, further comprising: uploading the article to the public chain, and creating an intelligent contract of the article, the intelligent contract comprises a sale protocol, an adaptation protocol and a transfer protocol.8. A device for processing cross-metaverse item, wherein the device comprises: a determining module, for detecting the first virtual world on the sale request of the article on the public chain, determining the transaction chain of the second virtual world matched with the article; a processing module, used for if the article in the transaction chain is not in the chain state, then creating a non-homogeneous pass product of the article on the transaction chain, and creating an intelligent contract of the non-homogeneous pass product on the transaction chain.9. A device for processing cross-metaverse item, wherein the device for processing cross-metaverse item comprises a memory, a processor and cross-metaverse item processing program stored in the memory and executable on the processor, the cross-metaverse item processing program is executed by the processor to implement each step in the method for processing cross-metaverse item according to any one of claims 1-7.10. A computer-readable storage medium, wherein the computer-readable storage medium is stored with cross-metaverse item processing program, when the cross-metaverse item processing program is executed by a processor to implement each step in the method for processing cross-metaverse item according to any one of claims 1 to 7.</t>
  </si>
  <si>
    <t>CN</t>
  </si>
  <si>
    <t>G06Q0040040000</t>
  </si>
  <si>
    <t>G06Q04004000</t>
  </si>
  <si>
    <t>G06Q04004000 | G06F01627000 | G06Q03006000</t>
  </si>
  <si>
    <t>CN115271964A</t>
  </si>
  <si>
    <t>$9671</t>
  </si>
  <si>
    <t>CN115271964 A</t>
  </si>
  <si>
    <t>I-000231818846</t>
  </si>
  <si>
    <t>20 years from 2022-08-29 (file date)</t>
  </si>
  <si>
    <t>https://patentscout.innography.com/share/SA20LO690yfPSoAgzQsltw%3D%3D</t>
  </si>
  <si>
    <t>2022-11-01-PUBLICATION|2022-11-18-ENTRY INTO FORCE OF REQUEST FOR SUBSTANTIVE EXAMINATION</t>
  </si>
  <si>
    <t>https://patentscout.innography.com/share/SA20LO690yfPSoAgzQsltw%3D%3D/download</t>
  </si>
  <si>
    <t>https://v3.espacenet.com/publicationDetails/biblio?CC=CN&amp;NR=115271964A&amp;KC=A&amp;FT=D&amp;date=20221101&amp;DB=EPODOC&amp;locale=</t>
  </si>
  <si>
    <t>CN Applications</t>
  </si>
  <si>
    <t>1.  1.  A method for processing cross-metaverse item, wherein the method comprises: when detecting the sale request of the first virtual world on the article on the public chain, determining the transaction chain of the second virtual world matched with the article; if the article in the transaction chain is not in the chain state, then creating a non-homogeneous pass product of the article on the transaction chain, and creating an intelligent contract of the non-homogeneous pass product on the transaction chain.</t>
  </si>
  <si>
    <t>8.  8.  A device for processing cross-metaverse item, wherein the device comprises: a determining module, for detecting the first virtual world on the sale request of the article on the public chain, determining the transaction chain of the second virtual world matched with the article; a processing module, used for if the article in the transaction chain is not in the chain state, then creating a non-homogeneous pass product of the article on the transaction chain, and creating an intelligent contract of the non-homogeneous pass product on the transaction chain.</t>
  </si>
  <si>
    <t>US5920692 A | US8026913 B2 | US8089479 B2 | US20040002380 A1 | US20040051745 A1 | US20040085335 A1 | US20040102245 A1 | US20070265091 A1 | US20070298886 A1 | US20080090659 A1 | US20080147424 A1 | US20080158242 A1 | US20090128549 A1 | US20090237518 A1 | US20090254222 A1 | US20090262984 A1 | US20090285444 A1 | US20110007069 A1 | US20110066928 A1 | US20110210962 A1</t>
  </si>
  <si>
    <t>2032-05-24</t>
  </si>
  <si>
    <t xml:space="preserve">A metaverse system having a camera system for capturing image data from within a metaverse, comprising:
at least one computer device, including:
an interface for installing and administering, by a user, a camera within the metaverse;
a system for collecting image data from the camera based on an occurrence of a triggering event associated with the camera, wherein the system for collecting image data includes a system for detecting an action within a field of view of the camera and for generating the triggering event in response to the detecting; and
a system for storing or delivering the image data;
wherein image data is collected by the camera in an automatic fashion independently from the user.
</t>
  </si>
  <si>
    <t>1. A metaverse system having a camera system for capturing image data from within a metaverse, comprising:
at least one computer device, including:
an interface for installing and administering, by a user, a camera within the metaverse;
a system for collecting image data from the camera based on an occurrence of a triggering event associated with the camera, wherein the system for collecting image data includes a system for detecting an action within a field of view of the camera and for generating the triggering event in response to the detecting; and
a system for storing or delivering the image data;
wherein image data is collected by the camera in an automatic fashion independently from the user.
2. The metaverse system of claim 1, further comprising a notification system for notifying at least one user when image data has been collected.
3. The metaverse system of claim 2, wherein the notification system interfaces with a third party application.
4. The metaverse system of claim 1, wherein the system for storing or delivering the image data performs one of:
storing the image data in an inventory associated with at least one user; or
delivering the image data to at least one user via a third party application.
5. The metaverse system of claim 1, wherein the interface comprises a graphical user interface (GUI) and the GUI allows the user to place a camera within a scene, select a camera type, select at least one triggering event for the camera, select a notification protocol and select a delivery or storage protocol.
6. A non-transitory computer readable storage medium having a computer program product stored thereon for capturing image data from within a metaverse, comprising program code for:
implementing an interface for installing and administering, by a user, a camera within the metaverse;
collecting image data from the camera based on an occurrence of a triggering event associated with the camera, wherein the collecting image data includes detecting an action within a field of view of the camera and generating the triggering event in response to the detecting; and
storing or delivering the image data;
wherein the program code for collecting image data collects image data in an automatic fashion independently from the user.
7. The computer readable storage medium of claim 6, further comprising program code for:
notifying at least one user when image data has been collected.
8. The computer readable storage medium of claim 7, wherein the notifying interfaces with a third party application.
9. The computer readable storage medium of claim 6, wherein the storing or delivering the image data performs at least one of:
storing the image data in an inventory associated with at least one user; and
delivering the image data to at least one user via a third party application.
10. The computer readable storage medium of claim 6, wherein the interface comprises a graphical user interface (GUI) and the GUI allows the user to place a camera within a scene, select a camera type, select at least one triggering event for the camera, select a notification protocol and select a delivery or storage protocol.
11. A method for capturing image data from within a metaverse, comprising:
providing an interface for installing and administering, by a user, a camera within the metaverse;
collecting image data from the camera based on an occurrence of a triggering event associated with the camera, wherein the collecting image data includes detecting an action within a field of view of the camera and generating the triggering event in response to the detecting; and
storing or delivering the image data;
wherein image data is collected by the camera in an automatic fashion independently from the user.
12. The method of claim 11, further comprising notifying at least one user when image data has been collected.
13. The method of claim 12, wherein the notifying interfaces with a third party application.
14. The method of claim 11, wherein storing or delivering the image data includes at least one of:
storing the image data in an inventory associated with at least one user; and
delivering the image data to at least one user via a third party application.
15. The method of claim 11, wherein installing and administering includes providing a graphical user interface for placing a camera within a scene, selecting a camera type, selecting at least one triggering event for the camera, selecting a notification protocol and selecting a delivery or storage protocol.
16. A method of capturing data from within a metaverse, comprising:
receiving, from a user, an installation of a recording device within the metaverse;
receiving a specification, from the user, of at least one triggering event associated with the recording device;
collecting a resulting set of data, wherein the collecting includes detecting an action within a field of view of the recording device and generating the triggering event in response to the detecting; and
storing the resulting set of data for the user;
wherein image data is collected by the recording device in an automatic fashion independently from the user.</t>
  </si>
  <si>
    <t>20 years from 2009-11-09 (file date) plus a term adjustment of 927 days</t>
  </si>
  <si>
    <t>https://patentscout.innography.com/share/vLyWCj_eDcmwhaYdj_1gGA%3D%3D</t>
  </si>
  <si>
    <t>https://patentscout.innography.com/share/vLyWCj_eDcmwhaYdj_1gGA%3D%3D/download</t>
  </si>
  <si>
    <t>https://ppubs.uspto.gov/pubwebapp/external.html?q=8893047.pn.</t>
  </si>
  <si>
    <t>1. A metaverse system having a camera system for capturing image data from within a metaverse, comprising:
at least one computer device, including:
an interface for installing and administering, by a user, a camera within the metaverse;
a system for collecting image data from the camera based on an occurrence of a triggering event associated with the camera, wherein the system for collecting image data includes a system for detecting an action within a field of view of the camera and for generating the triggering event in response to the detecting; and
a system for storing or delivering the image data;
wherein image data is collected by the camera in an automatic fashion independently from the user.</t>
  </si>
  <si>
    <t>6. A non-transitory computer readable storage medium having a computer program product stored thereon for capturing image data from within a metaverse, comprising program code for:
implementing an interface for installing and administering, by a user, a camera within the metaverse;
collecting image data from the camera based on an occurrence of a triggering event associated with the camera, wherein the collecting image data includes detecting an action within a field of view of the camera and generating the triggering event in response to the detecting; and
storing or delivering the image data;
wherein the program code for collecting image data collects image data in an automatic fashion independently from the user.</t>
  </si>
  <si>
    <t>11. A method for capturing image data from within a metaverse, comprising:
providing an interface for installing and administering, by a user, a camera within the metaverse;
collecting image data from the camera based on an occurrence of a triggering event associated with the camera, wherein the collecting image data includes detecting an action within a field of view of the camera and generating the triggering event in response to the detecting; and
storing or delivering the image data;
wherein image data is collected by the camera in an automatic fashion independently from the user.</t>
  </si>
  <si>
    <t>16. A method of capturing data from within a metaverse, comprising:
receiving, from a user, an installation of a recording device within the metaverse;
receiving a specification, from the user, of at least one triggering event associated with the recording device;
collecting a resulting set of data, wherein the collecting includes detecting an action within a field of view of the recording device and generating the triggering event in response to the detecting; and
storing the resulting set of data for the user;
wherein image data is collected by the recording device in an automatic fashion independently from the user.</t>
  </si>
  <si>
    <t>KR20040096799 A | KR102254193 B1 | KR102343582 B1 | KR102368300 B1</t>
  </si>
  <si>
    <t>2022-07-12</t>
  </si>
  <si>
    <t>2042-07-12</t>
  </si>
  <si>
    <t>The metaverse character production system of the present invention includes a motion capture device for generating motion data by sensing a user&amp;#39;s movement; A biometric information measuring device for generating biometric data by measuring the user&amp;#39;s biometric information wherein the biometric data includes exercise information data related to the user&amp;#39;s physical activity and voice information data generated based on the user&amp;#39;s voice biometric information measuring device; a data correction module for receiving the motion data and the biometric information data and generating first correction data associated with the motion of the metaverse character and second correction data associated with the directing effect of the metaverse character; and a metaverse character realization module that generates the metaverse character by using the first correction data and the second correction data.</t>
  </si>
  <si>
    <t>Metaverse character making system and method for using voice data</t>
  </si>
  <si>
    <t>voice data|making system|characters making</t>
  </si>
  <si>
    <t>KR20220085825A</t>
  </si>
  <si>
    <t>a motion capture device for generating motion data by sensing a user's motion;A biometric information measuring device for generating biometric data by measuring the user's biometric information, wherein the biometric data includes exercise information data related to the user's physical activity and voice information data generated based on the user's voice, biometric information measuring device;receiving the motion data and the biometric data, correcting the motion data using the biometric data to generate first correction data, and using the biometric data to generate a second correction effect related to a metaverse character's directing effect a data correction module for generating correction data; and a metaverse character realization module configured to generate the metaverse character by using the first correction data and the second correction data, wherein the data correction module is configured to extract voice characteristics from the voice information data. feature extraction unit;a biometric information library for generating exercise information record data including exercise information data according to the amount of exercise of the user and voice information record data that is an average value of the continuously provided voice characteristics of the user;The voice information recorded data and the voice information data are compared to determine a difference between the average voice characteristic of the user and the current voice characteristic, and the voice state of the user is first determined according to a predetermined criterion using the difference in the voice information. a voice state determining unit that determines any one of a voice state, a second voice state, and a third voice state, and updates the user's voice state;A first exercise state section, a second exercise state section, and a third exercise state section are partitioned using the relative changes in heart rate, respiration rate, and body temperature of the user with reference to the exercise information record data, and the user's an exercise state determiner configured to determine the exercise state of the user and update the exercise state of the user by using whether the exercise information data is included in any one of the first exercise state section to the third exercise state section;A motion compensator for correcting the motion of the metaverse character according to the user's motion state and the user's voice state, wherein when the user's voice state is the first voice state, the motion compensator compensates for the user's exercise state The first correction data is generated by compensating the motion data using only The first correction data is generated by compensating the motion data so that. a motion compensator for generating the first compensation data by compensating the motion data to have a smaller size; and an effect correction unit for determining a directing effect of the metaverse character.</t>
  </si>
  <si>
    <t>a motion capture device for generating motion data by sensing a user's motion;A biometric information measuring device for generating biometric data by measuring the user's biometric information, wherein the biometric data includes exercise information data related to the user's physical activity and voice information data generated based on the user's voice, biometric information measuring device;receiving the motion data and the biometric data, correcting the motion data using the biometric data to generate first correction data, and using the biometric data to generate a second correction effect related to a metaverse character's directing effect a data correction module for generating correction data; and a metaverse character realization module configured to generate the metaverse character by using the first correction data and the second correction data, wherein the data correction module is configured to extract voice characteristics from the voice information data. feature extraction unit;a biometric information library for generating exercise information record data including exercise information data according to the amount of exercise of the user and voice information record data that is an average value of the continuously provided voice characteristics of the user;The voice information recorded data and the voice information data are compared to determine a difference between the average voice characteristic of the user and the current voice characteristic, and the voice state of the user is first determined according to a predetermined criterion using the difference in the voice information. a voice state determining unit that determines any one of a voice state, a second voice state, and a third voice state, and updates the user's voice state;A first exercise state section, a second exercise state section, and a third exercise state section are partitioned using the relative changes in heart rate, respiration rate, and body temperature of the user with reference to the exercise information record data, and the user's an exercise state determiner configured to determine the exercise state of the user and update the exercise state of the user by using whether the exercise information data is included in any one of the first exercise state section to the third exercise state section;A motion compensator for correcting the motion of the metaverse character according to the user's motion state and the user's voice state, wherein when the user's voice state is the first voice state, the motion compensator compensates for the user's exercise state The first correction data is generated by compensating the motion data using only The first correction data is generated by compensating the motion data so that. a motion compensator for generating the first compensation data by compensating the motion data to have a smaller size; and an effect correction unit for determining a directing effect of the metaverse character.
delete
The system of claim 1, wherein the data correction module further comprises an emotional state determiner configured to determine the emotional state of the user and update the user's emotional state by using the biometric information data..
The method of claim 3, wherein the data correction module generates the first correction data by correcting the motion data using at least one of the user's voice state, the user's exercise state, and the user's emotional state. A metaverse character creation system.
The method of claim 3, wherein the data correction module is data on an effect to be produced on the metaverse character using at least one of the user's voice state, the user's exercise state, and the user's emotional state. A metaverse character creation system that generates second correction data.
4. The method of claim 3, wherein the emotional state determining unit comprises: a first emotional state determining unit configured to determine the first emotional state of the user based on the user's voice characteristics;a second emotional state determining unit configured to determine a second emotional state of the user based on the change in body temperature for each body part of the user; and an emotional state determining unit configured to determine the emotional state of the user according to at least one of the first emotional state and the second emotional state.
The apparatus of claim 6, wherein the first emotional state determiner comprises: a spectrogram conversion unit that converts the voice characteristic into a spectrogram; and an emotional state determination unit configured to determine the user's emotional state according to the spectrogram input through the pre-learned emotional state determination model.
The system of claim 1, wherein the data correction module further comprises a metaverse character setting unit configured to determine a basic setting of the metaverse character.
The apparatus of claim 1, further comprising: a skeleton generating module that receives the first correction data and generates skeleton data of the metaverse character by using the first correction data; and a retarget module that receives the skeleton data, rigs the skeleton data to the image of the metaverse character, and generates character rigging data, wherein the metaverse character implementation module uses the character rigging data to A metaverse character production system that implements the motion of the metaverse character and implements a directing effect of the metaverse character using the second correction data.
delete</t>
  </si>
  <si>
    <t>G06T00721500</t>
  </si>
  <si>
    <t>G06T00721500 | G06T01340000 | G06T01320000 | G10L01502000 | G10L02518000 | G10L02563000</t>
  </si>
  <si>
    <t>KR102461267B1</t>
  </si>
  <si>
    <t>KR102461267 B1</t>
  </si>
  <si>
    <t>I-000232497487</t>
  </si>
  <si>
    <t>20 years from 2022-07-12 (file date)</t>
  </si>
  <si>
    <t>https://patentscout.innography.com/share/ouJZdLVU9R38BgvOe_CvRw%3D%3D</t>
  </si>
  <si>
    <t>2022-10-26-WRITTEN DECISION TO GRANT|2022-10-26-DECISION TO GRANT OR REGISTRATION OF PATENT RIGHT</t>
  </si>
  <si>
    <t>https://patentscout.innography.com/share/ouJZdLVU9R38BgvOe_CvRw%3D%3D/download</t>
  </si>
  <si>
    <t>https://v3.espacenet.com/publicationDetails/biblio?CC=KR&amp;NR=102461267B1&amp;KC=B1&amp;FT=D&amp;date=20221101&amp;DB=EPODOC&amp;locale=</t>
  </si>
  <si>
    <t>KR20102461267 B1</t>
  </si>
  <si>
    <t>1.  a motion capture device for generating motion data by sensing a user's motion;A biometric information measuring device for generating biometric data by measuring the user's biometric information, wherein the biometric data includes exercise information data related to the user's physical activity and voice information data generated based on the user's voice, biometric information measuring device;receiving the motion data and the biometric data, correcting the motion data using the biometric data to generate first correction data, and using the biometric data to generate a second correction effect related to a metaverse character's directing effect a data correction module for generating correction data; and a metaverse character realization module configured to generate the metaverse character by using the first correction data and the second correction data, wherein the data correction module is configured to extract voice characteristics from the voice information data. feature extraction unit;a biometric information library for generating exercise information record data including exercise information data according to the amount of exercise of the user and voice information record data that is an average value of the continuously provided voice characteristics of the user;The voice information recorded data and the voice information data are compared to determine a difference between the average voice characteristic of the user and the current voice characteristic, and the voice state of the user is first determined according to a predetermined criterion using the difference in the voice information. a voice state determining unit that determines any one of a voice state, a second voice state, and a third voice state, and updates the user's voice state;A first exercise state section, a second exercise state section, and a third exercise state section are partitioned using the relative changes in heart rate, respiration rate, and body temperature of the user with reference to the exercise information record data, and the user's an exercise state determiner configured to determine the exercise state of the user and update the exercise state of the user by using whether the exercise information data is included in any one of the first exercise state section to the third exercise state section;A motion compensator for correcting the motion of the metaverse character according to the user's motion state and the user's voice state, wherein when the user's voice state is the first voice state, the motion compensator compensates for the user's exercise state The first correction data is generated by compensating the motion data using only The first correction data is generated by compensating the motion data so that. a motion compensator for generating the first compensation data by compensating the motion data to have a smaller size; and an effect correction unit for determining a directing effect of the metaverse character.</t>
  </si>
  <si>
    <t>KR102139922 B1 | KR102230403 B1 | KR102238322 B1 | KR20150101760 A | KR20150113731 A | KR20190079178 A | KR20190079441 A | KR20200035695 A | KR20200063637 A | KR20210073428 A | KR20210080226 A</t>
  </si>
  <si>
    <t>2022-08-22</t>
  </si>
  <si>
    <t>2021-11-05</t>
  </si>
  <si>
    <t>2041-11-05</t>
  </si>
  <si>
    <t>The present invention relates to an online pet sitter system for real-time companion animal monitoring and care based on the Metaverse platform networking. a pet wearable device that is classified by type of companion animal to measure; It receives information from the pet wearable device and creates an avatar in the form of a companion animal&amp;#39;s character and a reality-linked 3D virtual reality that includes information including the state behavior location movement and emotion of the companion animal and the corresponding avatar appearance. a metaverse platform server that generates environment content; A network client that downloads the reality-linked 3D virtual environment content delivered from the metaverse platform server through a dedicated web (WEP) or mobile app (APP) and displays and outputs the downloaded reality-linked 3D virtual environment content Online pet for real-time companion animal monitoring and care based on the metaverse platform networking that can monitor and care for multiple companion animals on behalf of or together with the owner on the dedicated web (WEP) or mobile app (APP) It&amp;#39;s about the sitter system.</t>
  </si>
  <si>
    <t>Metaverse platform networking based online pet sitter system for real-time monitoring and care of companion animal</t>
  </si>
  <si>
    <t>Petpic Inc.</t>
  </si>
  <si>
    <t>PETPIC INC.</t>
  </si>
  <si>
    <t>KR20210151284A</t>
  </si>
  <si>
    <t>a pet wearable device mounted on a companion animal to measure information including the behavior, location, and voice of the companion animal in real time; The pet wearable device generates an avatar in the form of a companion animal's character by receiving information from the pet wearable device, and includes information including the state, behavior, location, and voice of the companion animal and the corresponding avatar appearance. a metaverse platform server that generatesA dedicated web (WEP) or mobile login to the metaverse platform server to download the reality-linked 3D virtual environment content delivered from the metaverse platform server and display and output the downloaded reality-linked 3D virtual environment content App (APP) network client; Constructed to include, the dedicated web (WEP) or mobile app (APP) network client is a plurality of logins to the metaverse platform server, a plurality of reality interlocking three-dimensional virtual environment content is a grid-type gallery Displayed in a screen method or step-type individual screen method, multiple companion animals can be monitored and cared for on behalf of or together with the owner in the dedicated web (WEP) or mobile app (APP), and the character-shaped avatar of the companion animal is Created by selling or purchasing avatars and accessories created by character designers by advertising or displaying them in an online shopping mall on the dedicated web (WEP) or mobile app (APP);The metaverse platform server operator is a metaverse platform networking-based real-time companion animal monitoring and care, characterized in that it obtains commissions including advertising commissions and sales commissions for online shopping mall advertisements or sales of avatars and accessories created by the character designer. Online pet sitter system for</t>
  </si>
  <si>
    <t>a pet wearable device mounted on a companion animal to measure information including the behavior, location, and voice of the companion animal in real time; The pet wearable device generates an avatar in the form of a companion animal's character by receiving information from the pet wearable device, and includes information including the state, behavior, location, and voice of the companion animal and the corresponding avatar appearance. a metaverse platform server that generates
A dedicated web (WEP) or mobile login to the metaverse platform server to download the reality-linked 3D virtual environment content delivered from the metaverse platform server and display and output the downloaded reality-linked 3D virtual environment content App (APP) network client; Constructed to include, the dedicated web (WEP) or mobile app (APP) network client is a plurality of logins to the metaverse platform server, a plurality of reality interlocking three-dimensional virtual environment content is a grid-type gallery Displayed in a screen method or step-type individual screen method, multiple companion animals can be monitored and cared for on behalf of or together with the owner in the dedicated web (WEP) or mobile app (APP), and the character-shaped avatar of the companion animal is Created by selling or purchasing avatars and accessories created by character designers by advertising or displaying them in an online shopping mall on the dedicated web (WEP) or mobile app (APP);
The metaverse platform server operator is a metaverse platform networking-based real-time companion animal monitoring and care, characterized in that it obtains commissions including advertising commissions and sales commissions for online shopping mall advertisements or sales of avatars and accessories created by the character designer. Online pet sitter system for
According to claim 1, wherein the pet wearable device is a body portion representing the overall appearance; a sensor unit that is formed inside the body and senses information including behavior information, location information, and voice information based on acceleration and angular velocity; and a communication unit that transmits the information sensed by the sensor unit to the metaverse platform server or receives a voice signal from the metaverse platform server, wherein the body unit is in the form of a necklace or band so that it can be worn on the body of a companion animal. Online pet sitter system for real-time companion animal monitoring and care based on metaverse platform networking, characterized in that it is formed or configured to be detachable from accessories including companion animal clothes, collars, and harnesses
According to claim 1, wherein the status information of the companion animal includes the companion animal's health status, medical history, name, age, birthday, breed, residence address, neutering status, and vaccination information based on the metaverse platform networking Online pet sitter system for real-time companion animal monitoring and care
[Claim 2] The online pet sitter system for real-time companion animal monitoring and care based on the Metaverse platform networking according to claim 1, wherein the behavioral information of the companion animal includes steps, distance traveled, movement time, and calorie consumption.
The method of claim 1, wherein the location information of the companion animal is measured based on the closest communication between the IoT device and the pet wearable device attached to an interior including indoor home appliances and furniture, a feeder, a water dispenser, and a bed for the companion animal. Online pet sitter system for real-time companion animal monitoring and care based on the metaverse platform networking featuring
The method of claim 1, wherein the metaverse platform server comprises: a client database in which login information of the network client is stored; and a client management unit that inquires the client database to check the validity of the login information of the client.
delete
The metaverse platform networking-based real-time companion animal monitoring and care according to claim 1, wherein the companion animal character-shaped avatar is created using a function of photographing a companion animal and converting the photographed picture into a character. online pet sitter system for
delete
delete
The method of claim 1, wherein the companion animal's character-shaped avatar is touch-sensing or menu selection is performed, and a chat function is executed to communicate with the owner, or a voice signal is transmitted to the companion animal's pet wearable device to output a voice to the companion animal. Online pet sitter system for real-time companion animal monitoring and care based on metaverse platform networking, characterized in that
According to claim 1, wherein the reality-linked three-dimensional virtual environment content constitutes a background space, the furniture comprising a sofa and a table; home appliances including TVs, washing machines and refrigerators; everyday items including picture frames and flowerpots; Online pet sitter system for real-time companion animal monitoring and care based on metaverse platform networking, characterized in that it is configured by applying items including companion animal supplies</t>
  </si>
  <si>
    <t>Lee, Kyeong Yeon</t>
  </si>
  <si>
    <t>Y02A0040700000</t>
  </si>
  <si>
    <t>G06Q05022000</t>
  </si>
  <si>
    <t>G06Q05022000 | A01K01100000 | A01K02900000 | G01P01500000 | G06F00316000 | G06Q05010000 | G06T01340000 | G06T01900000 | G06T01920000 | G16Y04010000 | H04W00402900</t>
  </si>
  <si>
    <t>KR102434203B1</t>
  </si>
  <si>
    <t>KR102434203 B1</t>
  </si>
  <si>
    <t>I-000229600420</t>
  </si>
  <si>
    <t>20 years from 2021-11-05 (file date)</t>
  </si>
  <si>
    <t>https://patentscout.innography.com/share/AVfXXAdOygIA2GnLN2Lu9w%3D%3D</t>
  </si>
  <si>
    <t>2022-08-09-DECISION TO GRANT OR REGISTRATION OF PATENT RIGHT|2022-08-11-NOTIFICATION OF CHANGE OF APPLICANT|2022-08-16-WRITTEN DECISION TO GRANT</t>
  </si>
  <si>
    <t>https://patentscout.innography.com/share/AVfXXAdOygIA2GnLN2Lu9w%3D%3D/download</t>
  </si>
  <si>
    <t>https://v3.espacenet.com/publicationDetails/biblio?CC=KR&amp;NR=102434203B1&amp;KC=B1&amp;FT=D&amp;date=20220822&amp;DB=EPODOC&amp;locale=</t>
  </si>
  <si>
    <t>KR20102434203 B1</t>
  </si>
  <si>
    <t>1.  a pet wearable device mounted on a companion animal to measure information including the behavior, location, and voice of the companion animal in real time; The pet wearable device generates an avatar in the form of a companion animal's character by receiving information from the pet wearable device, and includes information including the state, behavior, location, and voice of the companion animal and the corresponding avatar appearance. a metaverse platform server that generates
A dedicated web (WEP) or mobile login to the metaverse platform server to download the reality-linked 3D virtual environment content delivered from the metaverse platform server and display and output the downloaded reality-linked 3D virtual environment content App (APP) network client; Constructed to include, the dedicated web (WEP) or mobile app (APP) network client is a plurality of logins to the metaverse platform server, a plurality of reality interlocking three-dimensional virtual environment content is a grid-type gallery Displayed in a screen method or step-type individual screen method, multiple companion animals can be monitored and cared for on behalf of or together with the owner in the dedicated web (WEP) or mobile app (APP), and the character-shaped avatar of the companion animal is Created by selling or purchasing avatars and accessories created by character designers by advertising or displaying them in an online shopping mall on the dedicated web (WEP) or mobile app (APP);
The metaverse platform server operator is a metaverse platform networking-based real-time companion animal monitoring and care, characterized in that it obtains commissions including advertising commissions and sales commissions for online shopping mall advertisements or sales of avatars and accessories created by the character designer. Online pet sitter system for</t>
  </si>
  <si>
    <t>KR102025382 B1 | KR20120003588 A | KR20160109066 A | KR20200119114 A</t>
  </si>
  <si>
    <t>2021-04-22</t>
  </si>
  <si>
    <t>2021-08-02</t>
  </si>
  <si>
    <t>2023-10-22</t>
  </si>
  <si>
    <t>The present invention relates to a disaster training and warning transmission system comprising: a disaster management server (30) for collecting and updating disaster information; a manager portable terminal (40) carried by a manager managing the disaster management server (30); and a metaverse server (20) for allowing disaster training and warning transmission to be performed in a three-dimensional virtual world of a predetermined region by using a metaverse in a state of being connected through an information and communication network (10) to an ordinary person portable terminal (50) carried by an ordinary person wherein the metaverse server (20) implements in the three-dimensional virtual world disaster training based on disaster information stored in the disaster management server (30) and transmits a disaster warning to the manager portable terminal (40) and the ordinary person portable terminal (50) to check a process in which the manager and the ordinary person respond to a disaster situation in the three-dimensional virtual world through the manager portable terminal (40) and the ordinary person portable terminal (50).</t>
  </si>
  <si>
    <t>Disaster training and warning transmission system using metaverse</t>
  </si>
  <si>
    <t>transmission system|disaster|portable terminal|ordinary person|participants</t>
  </si>
  <si>
    <t>Kitvalley Co., Ltd.</t>
  </si>
  <si>
    <t>KR2021010072W</t>
  </si>
  <si>
    <t>A disaster management server 30 that collects and updates disaster information, an administrator portable terminal 40 carried by an administrator who manages the disaster management server 30, and a general public portable terminal 50 and an information communication network ( 10) A disaster training and alert delivery system having a metaverse server 20 that allows disaster training and alert delivery to be performed in a three-dimensional virtual world of a certain area using metaverse in a state connected through the metaverse, wherein the metaverse The server 20 implements disaster training based on the disaster information stored in the disaster management server 30 in a three-dimensional virtual world, and delivers a disaster alert to the manager portable terminal 40 and the public portable terminal 50 Disaster training and warning delivery system using metaverse, characterized in that the administrator and the general public check the process of responding to a disaster situation in the three-dimensional virtual world through the administrator portable terminal 40 and the general public portable terminal 50.</t>
  </si>
  <si>
    <t>A disaster management server 30 that collects and updates disaster information, an administrator portable terminal 40 carried by an administrator who manages the disaster management server 30, and a general public portable terminal 50 and an information communication network ( 10) A disaster training and alert delivery system having a metaverse server 20 that allows disaster training and alert delivery to be performed in a three-dimensional virtual world of a certain area using metaverse in a state connected through the metaverse, wherein the metaverse The server 20 implements disaster training based on the disaster information stored in the disaster management server 30 in a three-dimensional virtual world, and delivers a disaster alert to the manager portable terminal 40 and the public portable terminal 50 Disaster training and warning delivery system using metaverse, characterized in that the administrator and the general public check the process of responding to a disaster situation in the three-dimensional virtual world through the administrator portable terminal 40 and the general public portable terminal 50.
          The method according to claim 1, A plurality of transverse pipes (62) installed horizontally at regular intervals in a training mat (60) made of an elastic material and sealed at both ends so that the disaster training participant can stand;A plurality of transverse pressure sensors ( 64);A plurality of vertical tubes (66) made of an elastic material and sealed at both ends at regular intervals in the training mat (60);A plurality of vertical pressure sensors ( 68);a receiving unit 70 for receiving the horizontal pressure sensing signals provided from the plurality of transverse pressure sensors 64 and the longitudinal pressure sensing signals provided from the plurality of vertical pressure sensors 68;From the plurality of horizontal pressure sensing signals and the plurality of vertical pressure sensing signals provided from the receiver 70, the coordinates of the location of the disaster training participant are derived on the training mat 60, and the disaster training participant is the training mat ( 60) a movement direction determination unit 80 for deriving and determining the direction in which the disaster training participant moved on the training mat 60 based on the change in the position of the coordinates of the above position; and transmits information on the movement direction of the disaster training participant determined by the movement direction determination unit 80 to the metaverse server 20 through the information communication network 10 so that the metaverse server 20 is a disaster drill participant Transmitting unit 90 to identify the movement line according to the disaster drill;Disaster training and warning delivery system using metaverse, characterized in that it further comprises.
          The system according to claim 1 or 2, wherein the metaverse server (20) compensates with virtual currency according to the training performance of the manager and the general public.</t>
  </si>
  <si>
    <t>Cho, Beom Jun|Kim, Hyun-chul|Kim, Ji-won</t>
  </si>
  <si>
    <t>Y02A0010400000</t>
  </si>
  <si>
    <t>Y02A0010400000 | G01L0001000000 | G06Q0050260000 | G08B0021100000 | G08B0025100000 | G09B0009000000</t>
  </si>
  <si>
    <t>G06Q05026000 | G01L00100000 | G08B02110000 | G08B02510000 | G09B00900000</t>
  </si>
  <si>
    <t>WO2022225101A1</t>
  </si>
  <si>
    <t>WO2022225101 A1</t>
  </si>
  <si>
    <t>I-000231322552</t>
  </si>
  <si>
    <t>30 months from 2021-04-22 (priority date)</t>
  </si>
  <si>
    <t>https://patentscout.innography.com/share/m-XeMfkhDR3IdgLmFZFB_w%3D%3D</t>
  </si>
  <si>
    <t>https://patentscout.innography.com/share/m-XeMfkhDR3IdgLmFZFB_w%3D%3D/download</t>
  </si>
  <si>
    <t>https://v3.espacenet.com/publicationDetails/biblio?CC=WO&amp;NR=2022225101A1&amp;KC=A1&amp;FT=D&amp;date=20221027&amp;DB=EPODOC&amp;locale=</t>
  </si>
  <si>
    <t>WO2021182611 A1</t>
  </si>
  <si>
    <t>1.  A disaster management server 30 that collects and updates disaster information, an administrator portable terminal 40 carried by an administrator who manages the disaster management server 30 , and a general public portable terminal 50 and an information communication network ( 10 ) A disaster training and alert delivery system having a metaverse server 20 that allows disaster training and alert delivery to be performed in a three-dimensional virtual world of a certain area using metaverse in a state connected through the metaverse, wherein the metaverse The server 20 implements disaster training based on the disaster information stored in the disaster management server 30 in a three-dimensional virtual world, and delivers a disaster alert to the manager portable terminal 40 and the public portable terminal 50 Disaster training and warning delivery system using metaverse, characterized in that the administrator and the general public check the process of responding to a disaster situation in the three-dimensional virtual world through the administrator portable terminal 40 and the general public portable terminal 50.</t>
  </si>
  <si>
    <t>KR102210344 B1 | KR20200042790 A | KR20210014556 A</t>
  </si>
  <si>
    <t>2022-12-08</t>
  </si>
  <si>
    <t>2021-10-07</t>
  </si>
  <si>
    <t>2041-10-07</t>
  </si>
  <si>
    <t>The present invention relates to a 3D modeling conversion method for implementing a real-life based metaverse. The present invention includes the steps of photographing a plurality of images of an object to be scanned by a camera unit obtaining laser scan data for an object to be scanned by a lidar scanner unit and performing preprocessing of a plurality of captured images by a pre-processing unit. and converting a plurality of images into 3D modeling by the 3D modeling conversion unit and extracting the converted 3D modeling by the extraction unit into a 3D file.</t>
  </si>
  <si>
    <t>3d modeling conversion method and system for realization of photorealistic based metaverse</t>
  </si>
  <si>
    <t>KR20210133220A</t>
  </si>
  <si>
    <t>A 3D modeling conversion method for implementing a real-life based metaverse, comprising: (a) photographing a plurality of images of an object to be scanned by a camera unit;(b) acquiring laser scan data for an object to be scanned by the lidar scanner unit;(c) performing pre-processing on a plurality of captured images by the pre-processing unit;(d) converting a plurality of images into 3D modeling by a 3D modeling conversion unit; And (e) a step of extracting the converted 3D modeling by the extractor into a 3D file, and in step (d), the alignment module of the 3D modeling conversion unit performs alignment based on a plurality of images and laser scan data. step; and the reconstruction module repositioning the point cloud to organize unnecessary space, and the simplification module simplifies the mesh data through model simplification; and texturing the data simplified by the texture module, and extracting colors from the image taken by the color module and applying the color to the image. Long-term shooting, keeping the focal length constant during shooting, shooting manually, shooting while drawing a circular object to be scanned, shooting by attaching a marker to the object, and the simplification module organizes the mesh data to obtain mesh data A 3D modeling conversion method for implementing a real-life based metaverse, characterized in that the capacity is lightened and the lightweight mesh data can be further simplified by making it three-dimensional.</t>
  </si>
  <si>
    <t>A 3D modeling conversion method for implementing a real-life based metaverse, comprising: (a) photographing a plurality of images of an object to be scanned by a camera unit;(b) acquiring laser scan data for an object to be scanned by the lidar scanner unit;(c) performing pre-processing on a plurality of captured images by the pre-processing unit;(d) converting a plurality of images into 3D modeling by a 3D modeling conversion unit; And (e) a step of extracting the converted 3D modeling by the extractor into a 3D file, and in step (d), the alignment module of the 3D modeling conversion unit performs alignment based on a plurality of images and laser scan data. step; and the reconstruction module repositioning the point cloud to organize unnecessary space, and the simplification module simplifies the mesh data through model simplification; and texturing the data simplified by the texture module, and extracting colors from the image taken by the color module and applying the color to the image. Long-term shooting, keeping the focal length constant during shooting, shooting manually, shooting while drawing a circular object to be scanned, shooting by attaching a marker to the object, and the simplification module organizes the mesh data to obtain mesh data A 3D modeling conversion method for implementing a real-life based metaverse, characterized in that the capacity is lightened and the lightweight mesh data can be further simplified by making it three-dimensional.
delete
delete
delete
A 3D modeling conversion system for implementing a real-life based metaverse, comprising: a camera unit for taking a plurality of images of an object to be scanned;Lidar scanner unit for acquiring laser scan data for the object to be scanned;a pre-processing unit that pre-processes a plurality of captured images;3D modeling conversion unit for converting a plurality of images into 3D modeling; And a unit for extracting the converted 3D modeling into 3D files, wherein the camera unit takes several pictures from different angles, maintains a constant focal length, manually takes pictures, and draws an object to be scanned in a circle. Shooting, attaching markers to objects, and shooting, the 3D modeling conversion unit includes a simplification module, the simplification module organizes mesh data to reduce the capacity of mesh data, and adds the lightweight mesh data by converting it into three dimensions. 3D modeling conversion method for implementing a real-life based metaverse, characterized in that it can be simplified to.</t>
  </si>
  <si>
    <t>G06T0017200000</t>
  </si>
  <si>
    <t>G06T01720000</t>
  </si>
  <si>
    <t>G06T01720000 | G06T01140000 | G06T01504000 | G06T01900000 | G06V01020000</t>
  </si>
  <si>
    <t>KR102475520B1</t>
  </si>
  <si>
    <t>KR102475520 B1</t>
  </si>
  <si>
    <t>I-000233564527</t>
  </si>
  <si>
    <t>20 years from 2021-10-07 (file date)</t>
  </si>
  <si>
    <t>https://patentscout.innography.com/share/rrpGaQ8aUNd8OM9yGXLaFQ%3D%3D</t>
  </si>
  <si>
    <t>2022-11-24-DECISION TO GRANT OR REGISTRATION OF PATENT RIGHT|2022-12-05-WRITTEN DECISION TO GRANT</t>
  </si>
  <si>
    <t>https://patentscout.innography.com/share/rrpGaQ8aUNd8OM9yGXLaFQ%3D%3D/download</t>
  </si>
  <si>
    <t>https://v3.espacenet.com/publicationDetails/biblio?CC=KR&amp;NR=102475520B1&amp;KC=B1&amp;FT=D&amp;date=20221208&amp;DB=EPODOC&amp;locale=</t>
  </si>
  <si>
    <t>KR20102475520 B1</t>
  </si>
  <si>
    <t>1.  A 3D modeling conversion method for implementing a real-life based metaverse, comprising: (a) photographing a plurality of images of an object to be scanned by a camera unit;(b) acquiring laser scan data for an object to be scanned by the lidar scanner unit;(c) performing pre-processing on a plurality of captured images by the pre-processing unit;(d) converting a plurality of images into 3D modeling by a 3D modeling conversion unit; And (e) a step of extracting the converted 3D modeling by the extractor into a 3D file, and in step (d), the alignment module of the 3D modeling conversion unit performs alignment based on a plurality of images and laser scan data. step; and the reconstruction module repositioning the point cloud to organize unnecessary space, and the simplification module simplifies the mesh data through model simplification; and texturing the data simplified by the texture module, and extracting colors from the image taken by the color module and applying the color to the image. Long-term shooting, keeping the focal length constant during shooting, shooting manually, shooting while drawing a circular object to be scanned, shooting by attaching a marker to the object, and the simplification module organizes the mesh data to obtain mesh data A 3D modeling conversion method for implementing a real-life based metaverse, characterized in that the capacity is lightened and the lightweight mesh data can be further simplified by making it three-dimensional.</t>
  </si>
  <si>
    <t>5.  A 3D modeling conversion system for implementing a real-life based metaverse, comprising: a camera unit for taking a plurality of images of an object to be scanned;Lidar scanner unit for acquiring laser scan data for the object to be scanned;a pre-processing unit that pre-processes a plurality of captured images;3D modeling conversion unit for converting a plurality of images into 3D modeling; And a unit for extracting the converted 3D modeling into 3D files, wherein the camera unit takes several pictures from different angles, maintains a constant focal length, manually takes pictures, and draws an object to be scanned in a circle. Shooting, attaching markers to objects, and shooting, the 3D modeling conversion unit includes a simplification module, the simplification module organizes mesh data to reduce the capacity of mesh data, and adds the lightweight mesh data by converting it into three dimensions. 3D modeling conversion method for implementing a real-life based metaverse, characterized in that it can be simplified to.</t>
  </si>
  <si>
    <t>JP2001524233 A | US20030014423 A1</t>
  </si>
  <si>
    <t>JP2011217352 A</t>
  </si>
  <si>
    <t>2009-09-24</t>
  </si>
  <si>
    <t>2013-03-06</t>
  </si>
  <si>
    <t>Provided is a means for determining the authenticity of an object with a simple system configuration on the premise that a user freely creates an object in the metaverse or brings an object from outside the metaverse.  A server computer 1 associates an object ID for specifying an object with respect to a certain object and authentic information indicating that the object is authentic and stores it as object information and each client computer 3A In response to the communication unit communicating with 3N and receiving a query request for an object including a corresponding object ID from a certain client computer authentic information corresponding to the object ID is stored in the storage unit. The condition includes an inquiry unit that causes the communication unit to transmit authentic information to the client computer.  [Selection] Figure 1</t>
  </si>
  <si>
    <t>Truth/falsehood discrimination system for object in metaverse, method, and computer program therefor</t>
  </si>
  <si>
    <t>JP2008058489A</t>
  </si>
  <si>
    <t>A server computer that is connected to multiple client computers via a network and manages objects in the metaverse accessed by each client computer,  A storage unit that associates an object ID that identifies the object with respect to a certain object and authentic information indicating that the object is authentic, and stores the object information as object information;  A communication unit that communicates with each client computer;  In response to receiving an inquiry request for the object including the corresponding object ID from a certain client computer, the communication unit is provided with the authenticity information corresponding to the object ID stored in the storage unit. A server computer comprising: an inquiry unit that transmits the authentic information to the client computer.
The metaverse is accessed as first and second avatars by first and second users via first and second client computers, respectively.  The object is owned by the first avatar,  The inquiry unit receives the inquiry request in response to the second avatar inquiring the object in the metaverse, and on condition that authentic information corresponding to the object ID is stored. The server computer according to claim 1, wherein the authentic information is transmitted to the second client computer.
The server computer according to claim 2, wherein the authentic information is transmitted in a manner that can be recognized by the second user in the metaverse.
The object is a clothing object of an avatar in the metaverse,  The authentic information further includes manager information for identifying a manager of the brand of the clothing object, a brand name indicating the name of the brand, and logo data indicating a logo of the brand,  In response to receiving the inquiry request for the clothing object including the corresponding object ID from a certain client computer, the inquiry unit, on the condition that the authentic information corresponding to the object ID is stored. The server computer according to claim 1, wherein at least a part of the administrator information, the brand name, and the logo data is transmitted to the client computer.
The object is an employee card object of an avatar in the metaverse,  The authentic information further includes manager information for identifying an administrator of the employee ID object, a company name indicating the name of the company, and logo data indicating a logo of the company,  In response to receiving the inquiry request for the employee ID object including the corresponding object ID from a certain client computer, the inquiry unit, on condition that the authentic information corresponding to the object ID is stored. The server computer according to claim 1, wherein at least a part of the administrator information, the company name, and the logo data is transmitted to the client computer.
The object information includes period information indicating a validity period of the authentic information,  In response to receiving an inquiry request for the object including the corresponding object ID from a certain client computer, the inquiry unit stores the authentic information corresponding to the object ID and the expiration date of the authentic information. The server computer according to claim 1, wherein the authentic information is transmitted to the client computer on condition that the information is within the network.
The server computer according to claim 6, wherein the object is a ticket in which the validity period in the metaverse is determined.
The inquiry unit responds to receiving an inquiry request for the object including the corresponding object ID from a certain client computer, on the condition that the authentic information corresponding to the object ID is not stored. The server computer according to claim 1, wherein a message indicating that is not stored is transmitted to the client computer.
The object information includes history information indicating at least one history of creation, duplication, change, and transfer of the object,  The said inquiry part specifies the original user corresponding to the said object based on the said historical information, and transmits that the said genuine information is not memorize | stored in the client computer corresponding to the said original user. Server computer.
The server computer according to claim 1, wherein the object information independently includes owner information that specifies an owner of the object and administrator information that specifies an administrator of the object.
In response to receiving a copy request for the object including the corresponding object ID from a client computer, the update unit further copies the object and does not store the authentic information corresponding to the copied object in the storage unit. The server computer according to claim 1.
An update unit that changes an object in response to receiving a change request for the object including a corresponding object ID from a client computer, and does not store authentic information corresponding to the changed object in the storage unit; The server computer according to claim 1.
The update unit according to claim 1, further comprising: an update unit that creates an object in response to receiving a request for creating a new object from a client computer and does not store authentic information corresponding to the created object in the storage unit. Server computer.
The object information further includes owner information identifying an owner of the object;  In response to receiving a transfer request that includes the corresponding object ID and transfers the object from the first user to the second user, the owner information is changed from the first user to the second user, The server computer according to claim 1, further comprising an update unit that does not change the authentic information.
The transfer of the object is performed in the metaverse in which the first and second users log in as first and second avatars via the first and second client computers. The server computer according to claim 14, which is performed between the avatars.
The object is a clothing object worn by an avatar in the metaverse,  The authentic information further includes manager information for identifying a manager of the brand of the clothing object and a brand name indicating the name of the brand,  In response to receiving a brand registration request from a client computer that registers a user as an administrator of a brand, provided that the same brand name is not already registered as an administrator of another user. The server computer according to claim 1, further comprising: a registration unit that registers the one user as an administrator of the brand and the brand name as a brand name in the storage unit.
In response to receiving a clothing object registration request from a client computer requesting that a certain clothing object be registered as authentic, the registration unit allows the user corresponding to the client computer to manage the brand. 17. The server computer according to claim 16, wherein the server ID is registered in the storage unit as object information by associating the corresponding object ID and authentic information on condition that the information is registered as a user.
The object is an employee card object of an avatar in the metaverse,  The authentic information further includes manager information for identifying a manager of the employee ID object and a company name indicating the name of the company,  In response to receiving an employee card registration request for registering a user as an administrator of an employee card object from a client computer, the same company name is not already registered as an administrator. 2. The server computer according to claim 1, further comprising: a registration unit that registers the one user as the manager of the employee card object and the company name as the company name in the authentic information.
In response to receiving an employee card object registration request for registering a certain employee ID object as a genuine one from a client computer, the registration unit receives the employee card object from the client computer. 19. The server computer according to claim 18, wherein the server ID is registered as object information by associating the corresponding object ID and authentic information on condition that the certificate object is registered as a manager of the certificate object.
A method applied to a server computer connected to a plurality of client computers via a network and managing objects in the metaverse accessed by each client computer;  Associating an object ID that identifies the object with respect to a certain object and authentic information indicating that the object is authentic, and storing it as object information;  Receiving a query request for the object including a corresponding object ID from a client computer;  A step of transmitting the authentic information to the client computer on condition that the authentic information corresponding to the object ID is stored.
A computer program that is connected to a plurality of client computers via a network and that is executed on a server computer that manages objects in the metaverse accessed by each client computer;  On the server computer,  Associating an object ID that identifies the object with respect to a certain object and authentic information indicating that the object is authentic, and storing it as object information;  Receiving a query request for the object including a corresponding object ID from a client computer;  And a step of transmitting the authentic information to the client computer on condition that the authentic information corresponding to the object ID is stored.</t>
  </si>
  <si>
    <t>Kawachiya, Kiyokuni|Tachibori, Michiaki</t>
  </si>
  <si>
    <t>JP5159375 B2</t>
  </si>
  <si>
    <t>$8571</t>
  </si>
  <si>
    <t>I-000084371991</t>
  </si>
  <si>
    <t>Application expired due to grant (JP5159375 B2)</t>
  </si>
  <si>
    <t>https://patentscout.innography.com/share/sf1jv84v_rF2UnZBZLTdfw%3D%3D</t>
  </si>
  <si>
    <t>2010-10-30-WRITTEN REQUEST FOR APPLICATION EXAMINATION|2012-05-29-REPORT ON RETRIEVAL|2012-06-20-NOTIFICATION OF REASONS FOR REFUSAL|2012-09-20-WRITTEN AMENDMENT|2012-09-20-REQUEST FOR WRITTEN AMENDMENT FILED|2012-11-22-DECISION OF GRANT OR REJECTION WRITTEN|2012-11-28-WRITTEN DECISION TO GRANT A PATENT OR TO GRANT A REGISTRATION (UTILITY MODEL)|2012-12-20-FIRST PAYMENT OF ANNUAL FEES (DURING GRANT PROCEDURE)|2012-12-21-CERTIFICATE OF PATENT OR REGISTRATION OF UTILITY MODEL|2012-12-21-CERTIFICATE OF PATENT OR REGISTRATION OF UTILITY MODEL|2012-12-27-RENEWAL FEE PAYMENT (EVENT DATE IS RENEWAL DATE OF DATABASE)|2013-04-12-RENEWAL FEE PAYMENT (EVENT DATE IS RENEWAL DATE OF DATABASE)|2013-04-15-RENEWAL FEE PAYMENT (EVENT DATE IS RENEWAL DATE OF DATABASE)|2013-04-15-REQUEST FOR CHANGE OF OWNERSHIP OR PART OF OWNERSHIP|2013-05-15-WRITTEN NOTIFICATION OF REGISTRATION OF TRANSFER|2015-12-15-RECEIPT OF ANNUAL FEES|2016-12-20-RECEIPT OF ANNUAL FEES|2017-12-12-RECEIPT OF ANNUAL FEES|2018-12-18-RECEIPT OF ANNUAL FEES|2019-12-17-RECEIPT OF ANNUAL FEES|2020-12-09-RECEIPT OF ANNUAL FEES|2021-12-07-RECEIPT OF ANNUAL FEES</t>
  </si>
  <si>
    <t>https://patentscout.innography.com/share/sf1jv84v_rF2UnZBZLTdfw%3D%3D/download</t>
  </si>
  <si>
    <t>https://v3.espacenet.com/publicationDetails/biblio?CC=JP&amp;NR=2009217387A&amp;KC=A&amp;FT=D&amp;date=20090924&amp;DB=EPODOC&amp;locale=</t>
  </si>
  <si>
    <t>上野  剛史 | 坂口  博 | 太佐  種一 | 市位  嘉宏</t>
  </si>
  <si>
    <t>1. A server computer that is connected to multiple client computers via a network and manages objects in the metaverse accessed by each client computer,  A storage unit that associates an object ID that identifies the object with respect to a certain object and authentic information indicating that the object is authentic, and stores the object information as object information;  A communication unit that communicates with each client computer;  In response to receiving an inquiry request for the object including the corresponding object ID from a certain client computer, the communication unit is provided with the authenticity information corresponding to the object ID stored in the storage unit. A server computer comprising: an inquiry unit that transmits the authentic information to the client computer.</t>
  </si>
  <si>
    <t>9. The object information includes history information indicating at least one history of creation, duplication, change, and transfer of the object,  The said inquiry part specifies the original user corresponding to the said object based on the said historical information, and transmits that the said genuine information is not memorize | stored in the client computer corresponding to the said original user. Server computer.</t>
  </si>
  <si>
    <t>20. A method applied to a server computer connected to a plurality of client computers via a network and managing objects in the metaverse accessed by each client computer;  Associating an object ID that identifies the object with respect to a certain object and authentic information indicating that the object is authentic, and storing it as object information;  Receiving a query request for the object including a corresponding object ID from a client computer;  A step of transmitting the authentic information to the client computer on condition that the authentic information corresponding to the object ID is stored.</t>
  </si>
  <si>
    <t>21. A computer program that is connected to a plurality of client computers via a network and that is executed on a server computer that manages objects in the metaverse accessed by each client computer;  On the server computer,  Associating an object ID that identifies the object with respect to a certain object and authentic information indicating that the object is authentic, and storing it as object information;  Receiving a query request for the object including a corresponding object ID from a client computer;  And a step of transmitting the authentic information to the client computer on condition that the authentic information corresponding to the object ID is stored.</t>
  </si>
  <si>
    <t>US10055880 B2 | US10099140 B2 | US10118099 B2 | US10137376 B2 | US10179289 B2 | US10213682 B2 | US10226701 B2 | US10226703 B2 | US10232272 B2 | US10245509 B2 | US10286314 B2 | US10286326 B2 | US10284454 B2 | US10300390 B2 | US10315113 B2 | US10322351 B2 | US10376781 B2 | US10376792 B2 | US10376793 B2 | US10421019 B2 | US10463964 B2 | US10463971 B2 | US10471348 B2 | US10486068 B2 | US10500498 B2 | US10573065 B2 | US10586380 B2 | US10596471 B2 | US10627983 B2 | US10650539 B2 | US10668367 B2 | US10668381 B2 | US10694352 B2 | US10702779 B2 | US10709981 B2 | US10765948 B2 | US10807003 B2 | US10818060 B2 | US10835818 B2 | US10857468 B2 | US10861079 B2 | US10864443 B2 | US10898813 B2 | US10905963 B2 | US10981051 B2 | US10981069 B2 | US10987588 B2 | US10991110 B2 | US11040286 B2 | US11097193 B2 | US11115712 B2 | US11117055 B2 | US11148063 B2 | US11185784 B2 | US11189084 B2 | US11192028 B2 | US11207596 B2 | US11213753 B2 | US11224807 B2 | US11263670 B2 | US11278813 B2 | US11305191 B2 | US11310346 B2 | US11344808 B2 | US11351459 B2 | US11351466 B2 | US11413536 B2 | US11420119 B2 | US11420122 B2 | US11423556 B2 | US11423605 B2 | US11439904 B2 | US11439909 B2 | US11446582 B2 | US11524234 B2 | US11524237 B2 | US11537209 B2</t>
  </si>
  <si>
    <t>2028-03-07</t>
  </si>
  <si>
    <t>&lt;P&gt;PROBLEM TO BE SOLVED: To provide a means which can discriminate truth/falsehood of an object with a simple system configuration assuming free creation of objects by a user in a metaverse and introduction of objects from outside the metaverse.  &lt;P&gt;SOLUTION: A server computer 1 includes a storage section for associating an object ID for identifying an object with authenticity information indicating the authenticity of the object regarding the object and storing them as object information a communication section for communicating with respective client computers 3A to 3N and an inquiry section which responds to reception of an inquiry request for an object including a corresponding object ID from a client computer and allows the communication section to transmit authenticity information to the client computer on condition that the authenticity information corresponding to the object ID is stored in the storage section.  &lt;P&gt;COPYRIGHT: (C)2009JPO&amp;INPIT</t>
  </si>
  <si>
    <t>Object authenticity determination system and method in metaverse, and computer program thereof</t>
  </si>
  <si>
    <t>A server computer that is connected to multiple client computers via a network and manages objects in the metaverse accessed by each client computer,  A storage unit that associates an object ID that identifies the object with respect to a certain object and authentic information indicating that the object is authentic, and stores the object information as object information;  A communication unit that communicates with each client computer;  In response to receiving an inquiry request for the object including the corresponding object ID from a certain client computer, the communication unit is provided with the authenticity information corresponding to the object ID stored in the storage unit. A server computer comprising: an inquiry unit that transmits the authentic information to the client computer.
The metaverse is accessed as first and second avatars by first and second users via first and second client computers, respectively.  The object is owned by the first avatar,  The inquiry unit receives the inquiry request in response to the second avatar inquiring the object in the metaverse, and on condition that authentic information corresponding to the object ID is stored. The server computer according to claim 1, wherein the authentic information is transmitted to the second client computer.
The server computer according to claim 2, wherein the authentic information is transmitted in a manner that can be recognized by the second user in the metaverse.
The object is a clothing object of an avatar in the metaverse,  The authentic information further includes manager information for identifying a manager of the brand of the clothing object, a brand name indicating the name of the brand, and logo data indicating a logo of the brand,  In response to receiving the inquiry request for the clothing object including the corresponding object ID from a certain client computer, the inquiry unit, on the condition that the authentic information corresponding to the object ID is stored. administrator information and the brand name and the server computer according to any one of claims 1 to 3 at least part of the logo data is sent to the client computer.
The object is an employee card object of an avatar in the metaverse,  The authentic information further includes manager information for identifying an administrator of the employee ID object, a company name indicating the name of the company, and logo data indicating a logo of the company,  In response to receiving the inquiry request for the employee ID object including the corresponding object ID from a certain client computer, the inquiry unit, on condition that the authentic information corresponding to the object ID is stored. The server computer according to any one of claims 1 to 3, wherein at least a part of the administrator information, the company name, and the logo data is transmitted to the client computer.
The object information includes period information indicating a validity period of the authentic information,  In response to receiving an inquiry request for the object including the corresponding object ID from a certain client computer, the inquiry unit stores the authentic information corresponding to the object ID and the expiration date of the authentic information. The server computer according to any one of claims 1 to 3 , wherein the authentic information is transmitted to the client computer on condition that the information is within the network.
The server computer according to claim 6, wherein the object is a ticket in which the validity period in the metaverse is determined.
The inquiry unit responds to receiving an inquiry request for the object including the corresponding object ID from a certain client computer, on the condition that the authentic information corresponding to the object ID is not stored. The server computer according to any one of claims 1 to 7, wherein a message indicating that is not stored is transmitted to the client computer.
The object information includes history information indicating at least one history of creation, duplication, change, and transfer of the object,  The said inquiry part specifies the original user corresponding to the said object based on the said historical information, and transmits that the said genuine information is not memorize | stored in the client computer corresponding to the said original user . A server computer according to any one of the above.
The server computer according to any one of claims 1 to 9, wherein the object information includes, independently, owner information that specifies an owner of the object and administrator information that specifies an administrator of the object.
In response to receiving a copy request for the object including the corresponding object ID from a client computer, the update unit further copies the object and does not store the authentic information corresponding to the copied object in the storage unit. A server computer according to any one of claims 1 to 10 .
An update unit that changes an object in response to receiving a change request for the object including a corresponding object ID from a client computer, and does not store authentic information corresponding to the changed object in the storage unit; A server computer according to any one of claims 1 to 11 .
In response to receiving the new object client computer that requests to create, to create an object, further comprising an update unit which does not store the authenticity information corresponding to the created object in the storage unit according to claim 1 to 12 A server computer according to any one of the above.
The object information further includes owner information identifying an owner of the object;  In response to receiving a transfer request that includes the corresponding object ID and transfers the object from the first user to the second user, the owner information is changed from the first user to the second user, the server computer according to any one of claims 1 to 13 further comprising an update unit that does not change the authenticity information.
The transfer of the object is performed in the metaverse in which the first and second users log in as first and second avatars via the first and second client computers. The server computer according to claim 14, which is performed between the avatars.
The object is a clothing object worn by an avatar in the metaverse,  The authentic information further includes manager information for identifying a manager of the brand of the clothing object and a brand name indicating the name of the brand,  In response to receiving a brand registration request from a client computer that registers a user as an administrator of a brand, provided that the same brand name is not already registered as an administrator of another user. to, the one user as a manager of the brand, the server computer according to any one of claims 1 to 15 further comprising a registration unit that registers to each of the storage unit the brand name as a brand name.
In response to receiving a clothing object registration request from a client computer requesting that a certain clothing object be registered as authentic, the registration unit allows the user corresponding to the client computer to manage the brand. 17. The server computer according to claim 16, wherein the server ID is registered in the storage unit as object information by associating the corresponding object ID and authentic information on condition that the information is registered as a user.
The object is an employee card object of an avatar in the metaverse,  The authentic information further includes manager information for identifying a manager of the employee ID object and a company name indicating the name of the company,  In response to receiving an employee card registration request for registering a user as an administrator of an employee card object from a client computer, the same company name is not already registered as an administrator. 16. The server computer according to claim 1, further comprising: a registration unit that registers the one user as the manager of the employee card object and the company name as the company name in the authentic information. .
In response to receiving an employee card object registration request for registering a certain employee ID object as a genuine one from a client computer, the registration unit receives the employee card object from the client computer. 19. The server computer according to claim 18, wherein the server ID is registered as object information by associating the corresponding object ID and authentic information on condition that the certificate object is registered as a manager of the certificate object.
A method applied to a server computer connected to a plurality of client computers via a network and managing objects in the metaverse accessed by each client computer;  Associating an object ID that identifies the object with respect to a certain object and authentic information indicating that the object is authentic, and storing it as object information;  Receiving a query request for the object including a corresponding object ID from a client computer;  A step of transmitting the authentic information to the client computer on condition that the authentic information corresponding to the object ID is stored.
A computer program that is connected to a plurality of client computers via a network and that is executed on a server computer that manages objects in the metaverse accessed by each client computer;  On the server computer,  Associating an object ID that identifies the object with respect to a certain object and authentic information indicating that the object is authentic, and storing it as object information;  Receiving a query request for the object including a corresponding object ID from a client computer;  And a step of transmitting the authentic information to the client computer on condition that the authentic information corresponding to the object ID is stored.</t>
  </si>
  <si>
    <t>G06Q03006000 | G06F02160000 | G06F02162000 | G06Q05000000 | G06T00100000</t>
  </si>
  <si>
    <t>$21470</t>
  </si>
  <si>
    <t>20 years from 2008-03-07 (file date)</t>
  </si>
  <si>
    <t>https://patentscout.innography.com/share/sCHrs0shaIoQjYxCJTC-BQ%3D%3D</t>
  </si>
  <si>
    <t>https://patentscout.innography.com/share/sCHrs0shaIoQjYxCJTC-BQ%3D%3D/download</t>
  </si>
  <si>
    <t>https://v3.espacenet.com/publicationDetails/biblio?CC=JP&amp;NR=5159375B2&amp;KC=B2&amp;FT=D&amp;date=20130306&amp;DB=EPODOC&amp;locale=</t>
  </si>
  <si>
    <t>坂口  博 | 市位  嘉宏 | 太佐  種一 | 上野  剛史</t>
  </si>
  <si>
    <t>JP Grants</t>
  </si>
  <si>
    <t>9. The object information includes history information indicating at least one history of creation, duplication, change, and transfer of the object,  The said inquiry part specifies the original user corresponding to the said object based on the said historical information, and transmits that the said genuine information is not memorize | stored in the client computer corresponding to the said original user . A server computer according to any one of the above.</t>
  </si>
  <si>
    <t>KR20090058760 A | KR101879586 B1 | KR102021492 B1 | KR20180064026 A | US20080310707 A1</t>
  </si>
  <si>
    <t>2022-07-13</t>
  </si>
  <si>
    <t>2021-09-14</t>
  </si>
  <si>
    <t>2041-09-14</t>
  </si>
  <si>
    <t>The present invention relates to the steps of collecting reference data corresponding to an actual image for each weather information on a region in a metaverse service providing apparatus and storing it in a collection database; generating a virtual reality layer for each weather environment based on the actual image for each information and storing the virtual reality layer in a service database; retrieving the virtual reality layer for the obtained weather information in the service database after acquiring the current weather information of It is possible to provide a method for providing a metaverse service based on a meteorological environment including the step of generating and providing it to the user-side terminal.</t>
  </si>
  <si>
    <t>Method for providing a service of metaverse based on meteorological environment</t>
  </si>
  <si>
    <t>Awesomepia Co., Ltd.</t>
  </si>
  <si>
    <t>Awesomepiece.inc</t>
  </si>
  <si>
    <t>Awesomepiece.Inc</t>
  </si>
  <si>
    <t>KR20210122545A</t>
  </si>
  <si>
    <t>The metaverse service providing device collects reference data corresponding to the actual image for each weather information for the region and stores it in a collection database, but collects reference data corresponding to the actual image that reflects the weather environment for each time zone for the region and collects the reference data The steps of storing in a collection database, and in the metaverse service providing device, generating a virtual reality layer for each weather environment based on the actual image for each weather information of the area stored in the collection database, and storing the virtual reality layer in the service database, generating a virtual reality layer reflecting the weather environment for each time zone and storing the virtual reality layer in the service database; After acquiring the current weather information, a virtual reality layer for the acquired weather information is searched in the service database,searching the service database for a virtual reality layer corresponding to the requested time for the metaverse service and the obtained weather information; and content for the metaverse service based on the searched virtual reality layer in the metaverse service providing device and providing it to the user-side terminal after generating, wherein the storing in the service database includes generating information for reflecting avatars according to the weather environment and matching it to the virtual reality layer for each weather environment. The step of storing in the service database and providing to the user-side terminal includes creating the content for the metaverse service including an avatar to which the avatar reflection information matched with the searched virtual reality layer is applied and providing it to the user-side terminal Method of providing metaverse service based on weather environment.</t>
  </si>
  <si>
    <t>The metaverse service providing device collects reference data corresponding to the actual image for each weather information for the region and stores it in a collection database, but collects reference data corresponding to the actual image that reflects the weather environment for each time zone for the region and collects the reference data The steps of storing in a collection database, and in the metaverse service providing device, generating a virtual reality layer for each weather environment based on the actual image for each weather information of the area stored in the collection database, and storing the virtual reality layer in the service database, generating a virtual reality layer reflecting the weather environment for each time zone and storing the virtual reality layer in the service database; After acquiring the current weather information, a virtual reality layer for the acquired weather information is searched in the service database,
searching the service database for a virtual reality layer corresponding to the requested time for the metaverse service and the obtained weather information; and content for the metaverse service based on the searched virtual reality layer in the metaverse service providing device and providing it to the user-side terminal after generating, wherein the storing in the service database includes generating information for reflecting avatars according to the weather environment and matching it to the virtual reality layer for each weather environment. The step of storing in the service database and providing to the user-side terminal includes creating the content for the metaverse service including an avatar to which the avatar reflection information matched with the searched virtual reality layer is applied and providing it to the user-side terminal Method of providing metaverse service based on weather environment.
delete
The method of claim 1, wherein the providing to the user-side terminal comprises generating the content for the metaverse service including an interface layer capable of setting time and weather environment for the region and providing the content to the user-side terminal, The service providing method further comprises the step of searching the service database for a virtual reality layer corresponding to the time and weather environment set through the interface layer, and updating the content for the metaverse service provided to the user-side terminal. Method of providing metaverse service based on weather environment.
The method of claim 1 , wherein the providing to the user-side terminal comprises creating the content for the metaverse service including an interface layer capable of setting a weather environment for the region and providing the content to the user-side terminal, and providing the metaverse service The method further comprises the step of searching the service database for a virtual reality layer corresponding to the wake-up environment set through the interface layer, and updating the content for the metaverse service provided to the user-side terminal using the searched for the virtual reality layer. based metaverse service provision method.
delete
The method of claim 1 , wherein the providing to the user-side terminal comprises providing content for a metaverse service including an interface layer capable of setting information for reflecting the avatar reflected in the avatar, wherein the method for providing the metaverse service comprises: and transforming the avatar in the content for the metaverse service displayed on the user-side terminal based on the avatar reflection information set by the layer.
delete</t>
  </si>
  <si>
    <t>Min, Mun Ho</t>
  </si>
  <si>
    <t>G06Q05010000 | G01W00102000 | G06F01671000 | G06F01673500 | G06F01673800 | G06F01678700 | G06T01340000 | G06T01900000 | G06T01920000</t>
  </si>
  <si>
    <t>KR102420379B1</t>
  </si>
  <si>
    <t>KR102420379 B1</t>
  </si>
  <si>
    <t>I-000227796440</t>
  </si>
  <si>
    <t>20 years from 2021-09-14 (file date)</t>
  </si>
  <si>
    <t>https://patentscout.innography.com/share/g3BcYoE_LyrvhzQSrmzK7A%3D%3D</t>
  </si>
  <si>
    <t>2022-07-04-DECISION TO GRANT OR REGISTRATION OF PATENT RIGHT|2022-07-08-WRITTEN DECISION TO GRANT</t>
  </si>
  <si>
    <t>https://patentscout.innography.com/share/g3BcYoE_LyrvhzQSrmzK7A%3D%3D/download</t>
  </si>
  <si>
    <t>https://v3.espacenet.com/publicationDetails/biblio?CC=KR&amp;NR=102420379B1&amp;KC=B1&amp;FT=D&amp;date=20220713&amp;DB=EPODOC&amp;locale=</t>
  </si>
  <si>
    <t>KR20102420379 B1</t>
  </si>
  <si>
    <t>1.  The metaverse service providing device collects reference data corresponding to the actual image for each weather information for the region and stores it in a collection database, but collects reference data corresponding to the actual image that reflects the weather environment for each time zone for the region and collects the reference data The steps of storing in a collection database, and in the metaverse service providing device, generating a virtual reality layer for each weather environment based on the actual image for each weather information of the area stored in the collection database, and storing the virtual reality layer in the service database, generating a virtual reality layer reflecting the weather environment for each time zone and storing the virtual reality layer in the service database; After acquiring the current weather information, a virtual reality layer for the acquired weather information is searched in the service database,
searching the service database for a virtual reality layer corresponding to the requested time for the metaverse service and the obtained weather information; and content for the metaverse service based on the searched virtual reality layer in the metaverse service providing device and providing it to the user-side terminal after generating, wherein the storing in the service database includes generating information for reflecting avatars according to the weather environment and matching it to the virtual reality layer for each weather environment. The step of storing in the service database and providing to the user-side terminal includes creating the content for the metaverse service including an avatar to which the avatar reflection information matched with the searched virtual reality layer is applied and providing it to the user-side terminal Method of providing metaverse service based on weather environment.</t>
  </si>
  <si>
    <t>KR20200017153 A</t>
  </si>
  <si>
    <t>2021-03-09</t>
  </si>
  <si>
    <t>2022-03-08</t>
  </si>
  <si>
    <t>2042-03-08</t>
  </si>
  <si>
    <t>A method and system for providing a metaverse education platform are presented. The metaverse education platform providing system proposed in the present invention merges the 3D modeling of the face mesh through the face recognition function and the screen of the self-camera photographing the first user who provides the education service through the metaverse. A virtual camera for taking pictures a communication unit that transmits video data and audio data of the merged image to a second user terminal participating in the education service using different networks and the merged image received through the second user terminal and an image processing unit for displaying in the virtual space of the metaverse of the second user terminal.</t>
  </si>
  <si>
    <t>Method and system for providing low-latency network for metaverse education platform with ar face-tracking</t>
  </si>
  <si>
    <t>face tracking|education platform|virtual space|virtual camera|video data|education service</t>
  </si>
  <si>
    <t>Glad Park</t>
  </si>
  <si>
    <t>Glad</t>
  </si>
  <si>
    <t>KR20220029199A</t>
  </si>
  <si>
    <t>In the metaverse education platform providing system, the 3D modeling is converted in real time according to the direction and size of the face recognized through the face recognition function and the screen of the self-camera photographing the first user who provides the education service through the metaverse. a virtual camera that shoots to merge; a communication unit for transmitting video data and audio data of the merged image to a second user terminal participating in the education service using different networks; and an image processing unit that adjusts the ratio of the merged image received through the second user terminal and displays it on the second user terminal.</t>
  </si>
  <si>
    <t>In the metaverse education platform providing system, the 3D modeling is converted in real time according to the direction and size of the face recognized through the face recognition function and the screen of the self-camera photographing the first user who provides the education service through the metaverse. a virtual camera that shoots to merge; a communication unit for transmitting video data and audio data of the merged image to a second user terminal participating in the education service using different networks; and an image processing unit that adjusts the ratio of the merged image received through the second user terminal and displays it on the second user terminal.
The method according to claim 1, wherein the virtual camera comprises a first virtual camera that captures a screen of a self-camera that captures the first user, and the first virtual camera determines the depth and depth of the face through a face recognition function of machine learning. A system for providing a metaverse education platform that processes landmarks for recognizing contours in real time to merge the screen of the self-camera photographing the first user on the memory of the first user terminal.
The method of claim 1, wherein the communication unit transmits the video data through a Web Real-Time Communication Network (WebRTC), and transmits the audio data through a User Datagram Protocol Socket Network (UDP), and the UDP Transmits metaverse virtual space related data including avatar position in metaverse virtual space, HMD (Head Mounted Display) rotation value, controller position, controller rotation value, and command for education service through socket network Metaverse education platform providing system.
The self-camera of claim 1, wherein the image processing unit selects only a screen of a self-camera in which the second user terminal captures the first user, or a screen of the first user terminal and a self-camera photographing the first user. Select all of the screens and display them simultaneously by adjusting the ratio according to a predetermined setting, or select both the screen of the first user terminal and the screen of the self-camera photographing the first user and configure the layout according to the predetermined setting and a metaverse education platform providing system for displaying in the virtual space of the metaverse of the second user terminal by adjusting the ratio.
A method for providing a metaverse education platform, wherein a first user terminal providing an education service through metaverse merges a screen of the first user terminal photographed through a virtual camera and a screen of a self-camera photographing the first user to do; transmitting, by a communication unit, video data and audio data of the merged image to a second user terminal participating in the education service using different networks; separating the merged image received through a second user terminal into a screen of the first user terminal and a screen of a self-camera photographing the first user through an image processing unit; and an image processing unit selects at least one of the separated screen of the first user terminal and a screen of a self-camera that captures the first user, and adjusts the ratio of the selected screen in a virtual space of the metaverse of the second user terminal Method of providing a metaverse education platform comprising the step of displaying in the.
The method of claim 5, wherein the transmitting of the video data and audio data of the merged image by the communication unit to the second user terminal participating in the education service using different networks comprises: The video data is a WebRTC network (Web Real -Time Communication Network), the audio data is transmitted through a UDP socket network (User Datagram Protocol Socket Network), and the location of the avatar in the virtual space of the metaverse, HMD (Head Mounted Display) through the UDP socket network A method for providing a metaverse education platform that transmits data related to the virtual space of the metaverse, including rotation values, controller positions, controller rotation values, and commands for education services.</t>
  </si>
  <si>
    <t>Simon, Cho|Wonil, Park</t>
  </si>
  <si>
    <t>G06Q0050200000 | G06Q0050100000 | G06T0013400000 | G06T0019003000 | G06V0040160000</t>
  </si>
  <si>
    <t>G06Q05020000 | G06Q05010000 | G06T01340000 | G06T01900000 | G06V04016000</t>
  </si>
  <si>
    <t>KR20220126660A</t>
  </si>
  <si>
    <t>KR20220126660 A</t>
  </si>
  <si>
    <t>I-000230625161</t>
  </si>
  <si>
    <t>20 years from 2022-03-08 (file date)</t>
  </si>
  <si>
    <t>https://patentscout.innography.com/share/3QCFfdnzgNiHsOy1Z_HI7g%3D%3D</t>
  </si>
  <si>
    <t>https://patentscout.innography.com/share/3QCFfdnzgNiHsOy1Z_HI7g%3D%3D/download</t>
  </si>
  <si>
    <t>https://v3.espacenet.com/publicationDetails/biblio?CC=KR&amp;NR=20220126660A&amp;KC=A&amp;FT=D&amp;date=20220916&amp;DB=EPODOC&amp;locale=</t>
  </si>
  <si>
    <t>1.  In the metaverse education platform providing system, the 3D modeling is converted in real time according to the direction and size of the face recognized through the face recognition function and the screen of the self-camera photographing the first user who provides the education service through the metaverse. a virtual camera that shoots to merge; a communication unit for transmitting video data and audio data of the merged image to a second user terminal participating in the education service using different networks; and an image processing unit that adjusts the ratio of the merged image received through the second user terminal and displays it on the second user terminal.</t>
  </si>
  <si>
    <t>5.  A method for providing a metaverse education platform, wherein a first user terminal providing an education service through metaverse merges a screen of the first user terminal photographed through a virtual camera and a screen of a self-camera photographing the first user to do; transmitting, by a communication unit, video data and audio data of the merged image to a second user terminal participating in the education service using different networks; separating the merged image received through a second user terminal into a screen of the first user terminal and a screen of a self-camera photographing the first user through an image processing unit; and an image processing unit selects at least one of the separated screen of the first user terminal and a screen of a self-camera that captures the first user, and adjusts the ratio of the selected screen in a virtual space of the metaverse of the second user terminal Method of providing a metaverse education platform comprising the step of displaying in the.</t>
  </si>
  <si>
    <t>US6810418 B1 | US6954728 B1 | US7249139 B2 | US7797168 B2 | US7996264 B2 | US20040243664 A1 | US20050182729 A1 | US20050216346 A1 | US20060161788 A1 | US20080014917 A1 | US20080220876 A1 | US20080282090 A1 | US20090030774 A1 | US20090063283 A1 | US20090157495 A1 | US20090157625 A1 | US20090228550 A1 | US20090234948 A1 | US20090235191 A1 | US20100293569 A1 | US20110107433 A1 | US20110126272 A1</t>
  </si>
  <si>
    <t>US9808722 B2 | US10346365 B2 | US10765948 B2 | US10981069 B2 | US11413536 B2 | US8931056 B2 | CN104572297 A | US20090228550 A1 | US8230045 B2</t>
  </si>
  <si>
    <t>A server computer connected to a plurality of client computers through a network and controls objects in a Metaverse accessed by the client computers. The server computer includes: a storage unit for storing as object information for a certain object an object ID specifying the object and associated with the object ID authenticity information indicating that the object is; a communication unit for communicating with each of the client computers; and an enquiry unit for upon receipt of an enquiry request including an object ID to enquire about the object of the object ID from a certain client computer causing the communication unit to transmit authenticity information of the object ID to the communication unit when the authenticity information of the object ID is stored in the storage unit.</t>
  </si>
  <si>
    <t>Kawachiya Kiyokuni; Tatsubori Michiaki</t>
  </si>
  <si>
    <t xml:space="preserve">A server computer which is connected to a plurality of client computers through a network, and which controls objects in a Metaverse accessed by the client computers, the server computer comprising:
a storage unit for storing, as object information for a certain object, an object ID specifying the object and, in association with the object ID, authenticity information indicating that the object is genuine;
a communication unit for communicating with each of the client computers; and
an enquiry unit for, upon receipt of an enquiry request including an object ID to enquire about the object of the object ID from a certain client computer, causing the communication unit to transmit authenticity information corresponding to the object ID to the client computer, on condition that the authenticity information corresponding to the object ID is stored in the storage unit.
</t>
  </si>
  <si>
    <t>1. A server computer which is connected to a plurality of client computers through a network, and which controls objects in a Metaverse accessed by the client computers, the server computer comprising:
a storage unit for storing, as object information for a certain object, an object ID specifying the object and, in association with the object ID, authenticity information indicating that the object is genuine;
a communication unit for communicating with each of the client computers; and
an enquiry unit for, upon receipt of an enquiry request including an object ID to enquire about the object of the object ID from a certain client computer, causing the communication unit to transmit authenticity information corresponding to the object ID to the client computer, on condition that the authenticity information corresponding to the object ID is stored in the storage unit.
2. The server computer according to claim 1, wherein:
first and second users access the Metaverse, as first and second avatars, through first and second client computers, respectively;
the object is owned by the first avatar; and
the enquiry unit receives the enquiry request in response to an enquiry made by the second avatar for the object in the Metaverse, and causes the communication unit to transmit authenticity information corresponding to the object ID to the second client computer, on condition that the authenticity information corresponding to the object ID is stored in the storage unit.
3. The server computer according to claim 2, wherein the authenticity information is transmitted in a form recognizable by the second user in the Metaverse.
4. The server computer according to claim 1, wherein:
the object is an accessory object for avatars in the Metaverse;
the authenticity information further includes manager information specifying a manager of the brand of the accessory object, a brand name indicating the name of the brand, and logo data indicating the logo of the brand; and
the enquiry unit includes means, responsive to receipt of an enquiry request including an object ID to enquire about the accessory object of the object ID from a certain client computer, to cause the communication unit to transmit to the client computer at least one of the manager information, the brand name and the logo data corresponding to the object ID, on condition that the authenticity information corresponding to the object ID is stored in the storage unit.
5. The server computer according to claim 1, wherein:
the object is an employee badge object of an avatar in the Metaverse;
the authenticity information further includes owner information specifying an owner of the employee badge object, a company name indicating the name of the company, and logo data indicating the logo of the company; and
the enquiry unit includes means responsive to receipt of an enquiry request for the employee badge object including a corresponding object ID from a certain client computer, to cause the communication unit to transmit to the client computer at least one of the owner information, the company name and the logo data corresponding to the object ID, on condition that the authenticity information corresponding to the object ID is stored in the storage unit.
6. The server computer according to claim 1, wherein:
the object information includes time period information indicating an expiration time of the authenticity information; and
the enquiry unit includes means, responsive to receipt of an enquiry request including an object ID to enquire about the object of the object ID from a certain client computer, to cause the communication unit to transmit authenticity information corresponding to the object ID to the client computer, on condition that the authenticity information corresponding to the object ID is stored in the storage unit and is still valid since its expiration time has not come yet.
7. The server computer according to claim 6, wherein the object is a ticket having the expiration time in the Metaverse.
8. The server computer according to claim 1, wherein the enquiry unit includes means responsive to receipt of an enquiry request including an object ID to enquire about the object of the object ID from a certain client computer, to cause the communication unit to transmit a notification that authenticity information corresponding to the object ID is not stored in the storage unit to the client computer, on condition that the authenticity information corresponding to the object ID is not stored in the storage unit.
9. The server computer according to claim 8, wherein:
the object information includes history information indicating a history of at least any one of creation, copying, modification and giving of the object; and
the enquiry unit identifies an original user of the object according to the history information, and causes the communication unit to transmit a notification that the authenticity information corresponding to the object ID is not stored, to a client computer of the original user.
10. The server computer according to claim 1, wherein the object information separately includes owner information specifying the owner of the object and manager information specifying the manager of the object.
11. The server computer according to claim 1, further comprising an update unit which copies an object upon receipt of a copying request including an object ID to copy the object of the object ID from a certain client computer, and which does not store authenticity information of the copied object in the storage unit.
12. The server computer according to claim 1, further comprising an update unit which modifies an object upon receipt of a modification request including an object ID to modify the object of the object ID from a certain client computer, and which does not store authenticity information of the modified object in the storage unit.
13. The server computer according to claim 1, further comprising an update unit which creates an object upon receipt of a new object creation request from a certain client computer, and which does not store authenticity information of the created object in the storage unit.
14. The server computer according to claim 1, wherein:
the object information further includes owner information specifying the owner of the object; and
the server computer further comprises an update unit which changes the owner information from a first user to a second user, upon receipt of a giving request including an object ID to give the object of the object ID from the first user to the second user, and which does not change the authenticity information.
15. The server computer according to claim 14, wherein the object is given from a first avatar to a second avatar in the Metaverse which the first and second users log in as the first and second avatars through the first and second client computers, respectively.
16. The server computer according to claim 1, wherein:
the object is an accessory object for avatars in the Metaverse; and
the authenticity information further includes manager information specifying a manager of the brand of the accessory object and a brand name indicating the name of the brand, and
the server computer further comprises: a registration unit for, upon receipt of a brand registration request to register a certain user as a manager of a brand from a certain client computer, registering the user as the manager of the brand and the brand name as the name of the brand in the storage unit, on condition that the same brand name is not already registered with another user assigned as the manager.
17. The server computer according to claim 16, wherein, upon receipt of an accessory object registration request to register a certain accessory object as a genuine object from a certain client computer, the registration unit registers a corresponding object ID and authenticity information in association with each other as object information in the storage unit, on condition that the user of the client computer is registered as the manager of the brand.
18. The server computer according to claim 1, wherein:
the object is an employee badge object of an avatar in the Metaverse, and
the authenticity information further includes owner information specifying an owner of the employee badge object and a company name indicating the name of the company, and
the server computer further comprises: a registration unit for, upon receipt of an employee badge registration request to register a certain user as an owner of a certain employee badge object from a certain client computer, registering in authenticity information the user as the owner of the employee badge object and the company name as the name of the company, on condition that the same company name is not already registered with another user assigned as the owner.
19. The server computer according to claim 18, wherein, upon receipt of an employee badge object registration request to register a certain employee badge object as a genuine object from a certain client computer, the registration unit registers a corresponding object ID and authenticity information in association with each other as object information, on condition that the user of the client computer is registered as the owner of the employee badge object.
20. A method applied to a server computer which is connected to a plurality of client computers through a network, and which controls objects in a Metaverse accessed by the client computers, the method comprising the steps of:
storing, as object information for a certain object, an object ID specifying the object and authenticity information, associated with the object ID, indicating that the object is genuine;
receiving an enquiry request including an object ID to enquire about the object of the object ID from a certain client computer; and
transmitting authenticity information corresponding to the object ID to the client computer on condition that the authenticity information corresponding to the object ID is stored.
21. A storage medium tangibly embodying computer-executable program instructions which, when executed by a server computer connected to a plurality of client computers through a network, and which controls objects in a Metaverse accessed by the client computers, casuses the server computer to execute the steps of:
storing, as object information for a certain object, an object ID specifying the object and authenticity information associated with the object ID indicating that the object is genuine;
receiving an enquiry request including an object ID to enquire about the object of the object ID from a certain client computer; and
transmitting authenticity information corresponding to the object ID to the client computer on condition that the authenticity information corresponding to the object ID is stored.</t>
  </si>
  <si>
    <t>US8230045 B2</t>
  </si>
  <si>
    <t>G06F01516000 | G06F01730000 | G06F02160000 | G06F02162000 | G06Q03006000 | G06Q05000000 | G06T00100000</t>
  </si>
  <si>
    <t>709203000|707999003|707999103|707E17055|715757000</t>
  </si>
  <si>
    <t>Application expired due to grant (US8230045 B2)</t>
  </si>
  <si>
    <t>https://patentscout.innography.com/share/Zt9jsnLCX-ocbvpTRUyWoA%3D%3D</t>
  </si>
  <si>
    <t>https://patentscout.innography.com/share/Zt9jsnLCX-ocbvpTRUyWoA%3D%3D/download</t>
  </si>
  <si>
    <t>https://ppubs.uspto.gov/pubwebapp/external.html?q=20090228550.pn.</t>
  </si>
  <si>
    <t>1. A server computer which is connected to a plurality of client computers through a network, and which controls objects in a Metaverse accessed by the client computers, the server computer comprising:
a storage unit for storing, as object information for a certain object, an object ID specifying the object and, in association with the object ID, authenticity information indicating that the object is genuine;
a communication unit for communicating with each of the client computers; and
an enquiry unit for, upon receipt of an enquiry request including an object ID to enquire about the object of the object ID from a certain client computer, causing the communication unit to transmit authenticity information corresponding to the object ID to the client computer, on condition that the authenticity information corresponding to the object ID is stored in the storage unit.</t>
  </si>
  <si>
    <t>20. A method applied to a server computer which is connected to a plurality of client computers through a network, and which controls objects in a Metaverse accessed by the client computers, the method comprising the steps of:
storing, as object information for a certain object, an object ID specifying the object and authenticity information, associated with the object ID, indicating that the object is genuine;
receiving an enquiry request including an object ID to enquire about the object of the object ID from a certain client computer; and
transmitting authenticity information corresponding to the object ID to the client computer on condition that the authenticity information corresponding to the object ID is stored.</t>
  </si>
  <si>
    <t>21. A storage medium tangibly embodying computer-executable program instructions which, when executed by a server computer connected to a plurality of client computers through a network, and which controls objects in a Metaverse accessed by the client computers, casuses the server computer to execute the steps of:
storing, as object information for a certain object, an object ID specifying the object and authenticity information associated with the object ID indicating that the object is genuine;
receiving an enquiry request including an object ID to enquire about the object of the object ID from a certain client computer; and
transmitting authenticity information corresponding to the object ID to the client computer on condition that the authenticity information corresponding to the object ID is stored.</t>
  </si>
  <si>
    <t>KR101837000 B1 | KR102412142 B1 | KR20150069699 A</t>
  </si>
  <si>
    <t>2022-10-17</t>
  </si>
  <si>
    <t>The present disclosure relates to an artificial intelligence-based virtual office service providing server using a virtual address in a metaverse which can issue a virtual office address to a user and provide a digital virtual mailroom service.</t>
  </si>
  <si>
    <t>Server, method and program that provides office services using a virtual address in the metaverse</t>
  </si>
  <si>
    <t>virtual office|virtual address|service providing server|office service|information included</t>
  </si>
  <si>
    <t>Dver</t>
  </si>
  <si>
    <t>DVER</t>
  </si>
  <si>
    <t>KR20220085858A</t>
  </si>
  <si>
    <t>a communication unit communicating with the user terminal and receiving mail information sent to the user from the user terminal;a memory for storing company information of the user and at least one virtual office address issued to the user; and a processor for generating and issuing the one or more virtual office addresses in the metaverse based on the user's company information, and identifying the type of mail by checking the received mail information, wherein the type of mail must be received in real real mail and virtual mail that can be received or checked in the metaverse, wherein the processor recognizes information included in the virtual mail when the identified mail type is virtual mail, and the recognized information Generates secure virtual mail by performing randomization or de-identification of at least some of the information, transmits the generated secure virtual mail to the address of the user's virtual mail room, and notifies the virtual mail transmission to the user terminal provides, analyzes the information included in the virtual mail, and classifies the information included in the virtual mail into a plurality of security levels based on the analysis result, When the user's avatar in the metaverse requests to view the secure virtual mail sent to the virtual mail room, security authentication is requested from the user terminal, and the security authentication information received from the user terminal is If the security authentication is satisfied, the user is permitted to view the secure virtual mail, but according to the security level of the user, by removing de-identification of information included in the virtual mail or de-randomization, A virtual office service providing server using a virtual address in the metaverse, characterized in that the metaverse image is rendered so that information matching the security level of the user among the information included is disclosed.</t>
  </si>
  <si>
    <t>a communication unit communicating with the user terminal and receiving mail information sent to the user from the user terminal;a memory for storing company information of the user and at least one virtual office address issued to the user; and a processor for generating and issuing the one or more virtual office addresses in the metaverse based on the user's company information, and identifying the type of mail by checking the received mail information, wherein the type of mail must be received in real real mail and virtual mail that can be received or checked in the metaverse, wherein the processor recognizes information included in the virtual mail when the identified mail type is virtual mail, and the recognized information Generates secure virtual mail by performing randomization or de-identification of at least some of the information, transmits the generated secure virtual mail to the address of the user's virtual mail room, and notifies the virtual mail transmission to the user terminal provides, analyzes the information included in the virtual mail, and classifies the information included in the virtual mail into a plurality of security levels based on the analysis result, When the user's avatar in the metaverse requests to view the secure virtual mail sent to the virtual mail room, security authentication is requested from the user terminal, and the security authentication information received from the user terminal is If the security authentication is satisfied, the user is permitted to view the secure virtual mail, but according to the security level of the user, by removing de-identification of information included in the virtual mail or de-randomization, A virtual office service providing server using a virtual address in the metaverse, characterized in that the metaverse image is rendered so that information matching the security level of the user among the information included is disclosed.
The method of claim 1, wherein the processor generates the virtual office address in the metaverse based on information of a user who subscribes to the virtual office service and a business registration number, and receives the real mail reception notification and virtual mail A virtual office service providing server using a virtual address in the metaverse, characterized in that the notification is provided to the virtual office address.
The virtual address in the metaverse of claim 2, wherein the processor determines the interior design of the virtual office based on the user's name, business type, and interior information selected from the user and renders the determined interior design of the virtual office to the metaverse image. A server that provides virtual office services using
delete
delete
The method of claim 1, wherein the user terminal comprises a virtual reality device, the security authentication information includes at least one of the user's biometric information and gesture information input through the virtual reality device, the processor comprising: A virtual office service providing server using a virtual address in the metaverse, characterized in that the user terminal requests the input of the security authentication information to the user terminal requesting to view the secure virtual mail according to at least one preset security release method from the user terminal.
The method of claim 6, wherein the processor is further configured to: when it is detected that a specific avatar accesses the virtual mailbox space of the metaverse, confirms an access right of a user who controls the specific avatar to the virtual mailbox space; virtual mail using a virtual address in metaverse, characterized in that only when the user has access to the virtual mail room space, the specific avatar accesses the virtual mail room and requests to view the virtual mail Office service provider server.
The method of claim 7, wherein the access right to the virtual mailroom space is different from the security authentication information, and the processor is further configured to: if the user controlling the specific avatar has the access right, the user's affiliation is confirmed,, checking the location of the virtual mailroom address according to the reason for the visit, and rendering an image instructing a movement path to move to the location of the confirmed virtual mailroom address on the metaverse image. A server that provides virtual office services using addresses.
A method performed by a virtual office service providing server, the method comprising: generating and issuing, by a processor of the virtual office service providing server, one or more virtual office addresses in a metaverse based on user's company information;receiving, by the communication unit of the virtual office service providing server, mail information sent to the user from the user's terminal; and identifying, by the processor, the type of postal mail by checking the received mail information, wherein the type of mail includes real mail to be received and virtual mail that can be received or confirmed in the metaverse, When the identified postal information is virtual mail, the processor recognizes information included in the virtual mail, and performs randomization or de-identification of at least some of the recognized information to generate secure virtual mail. generating, transmitting the generated secure virtual mail to the address of the user's virtual mail room, providing a virtual mail transmission notification to the user's terminal, analyzing information included in the virtual mail, and receiving the analysis result classifies the information included in the virtual mail into a plurality of security levels based request security authentication; If the security authentication information received from the user's terminal meets the requested security authentication, the user's reading of the secure virtual mail is permitted, but de-identification of information included in the virtual mail according to the user's security level A virtual office using a virtual address in the metaverse, characterized in that the metaverse image is rendered so that information corresponding to the user's security level from among the information included in the virtual mail is disclosed by removing or disabling randomization. HOW TO PROVIDE SERVICES.
A computer-readable recording medium in which a program for executing the method of claim 9 is stored in combination with a computer as hardware.</t>
  </si>
  <si>
    <t>Jang, Seung Rae</t>
  </si>
  <si>
    <t>G06Q01010000 | G06F02112000 | G06Q05010000 | G06Q05028000</t>
  </si>
  <si>
    <t>KR102455172B1</t>
  </si>
  <si>
    <t>KR102455172 B1</t>
  </si>
  <si>
    <t>I-000231723239</t>
  </si>
  <si>
    <t>https://patentscout.innography.com/share/jTIumUjwd66evrV7Luq3NA%3D%3D</t>
  </si>
  <si>
    <t>2022-09-08-DECISION TO GRANT OR REGISTRATION OF PATENT RIGHT|2022-10-12-WRITTEN DECISION TO GRANT|2022-10-12-DIVISIONAL APPLICATION OF PATENT</t>
  </si>
  <si>
    <t>https://patentscout.innography.com/share/jTIumUjwd66evrV7Luq3NA%3D%3D/download</t>
  </si>
  <si>
    <t>https://v3.espacenet.com/publicationDetails/biblio?CC=KR&amp;NR=102455172B1&amp;KC=B1&amp;FT=D&amp;date=20221017&amp;DB=EPODOC&amp;locale=</t>
  </si>
  <si>
    <t>KR20102455172 B1</t>
  </si>
  <si>
    <t>1.  a communication unit communicating with the user terminal and receiving mail information sent to the user from the user terminal;a memory for storing company information of the user and at least one virtual office address issued to the user; and a processor for generating and issuing the one or more virtual office addresses in the metaverse based on the user's company information, and identifying the type of mail by checking the received mail information, wherein the type of mail must be received in real real mail and virtual mail that can be received or checked in the metaverse, wherein the processor recognizes information included in the virtual mail when the identified mail type is virtual mail, and the recognized information Generates secure virtual mail by performing randomization or de-identification of at least some of the information, transmits the generated secure virtual mail to the address of the user's virtual mail room, and notifies the virtual mail transmission to the user terminal provides, analyzes the information included in the virtual mail, and classifies the information included in the virtual mail into a plurality of security levels based on the analysis result, When the user's avatar in the metaverse requests to view the secure virtual mail sent to the virtual mail room, security authentication is requested from the user terminal, and the security authentication information received from the user terminal is If the security authentication is satisfied, the user is permitted to view the secure virtual mail, but according to the security level of the user, by removing de-identification of information included in the virtual mail or de-randomization, A virtual office service providing server using a virtual address in the metaverse, characterized in that the metaverse image is rendered so that information matching the security level of the user among the information included is disclosed.</t>
  </si>
  <si>
    <t>9.  A method performed by a virtual office service providing server, the method comprising: generating and issuing, by a processor of the virtual office service providing server, one or more virtual office addresses in a metaverse based on user's company information;receiving, by the communication unit of the virtual office service providing server, mail information sent to the user from the user's terminal; and identifying, by the processor, the type of postal mail by checking the received mail information, wherein the type of mail includes real mail to be received and virtual mail that can be received or confirmed in the metaverse, When the identified postal information is virtual mail, the processor recognizes information included in the virtual mail, and performs randomization or de-identification of at least some of the recognized information to generate secure virtual mail. generating, transmitting the generated secure virtual mail to the address of the user's virtual mail room, providing a virtual mail transmission notification to the user's terminal, analyzing information included in the virtual mail, and receiving the analysis result classifies the information included in the virtual mail into a plurality of security levels based request security authentication; If the security authentication information received from the user's terminal meets the requested security authentication, the user's reading of the secure virtual mail is permitted, but de-identification of information included in the virtual mail according to the user's security level A virtual office using a virtual address in the metaverse, characterized in that the metaverse image is rendered so that information corresponding to the user's security level from among the information included in the virtual mail is disclosed by removing or disabling randomization. HOW TO PROVIDE SERVICES.</t>
  </si>
  <si>
    <t>KR20210028786 A | KR20210064472 A | KR20210123148 A</t>
  </si>
  <si>
    <t>2022-08-31</t>
  </si>
  <si>
    <t>2022-04-22</t>
  </si>
  <si>
    <t>2042-04-22</t>
  </si>
  <si>
    <t>The present invention relates to a mental health care system that provides a metaverse environment including a private zone to general users who want mental care. According to one aspect of the present invention there is provided a mental health care system using the metaverse The system includes: a metaverse server for providing an infrastructure of mental health care services; a general user-side terminal for accessing the metaverse server to receive mental health care services; and an expert terminal for providing mental health care services by accessing the metaverse server wherein the metaverse server connects one general user terminal and one expert terminal to enable 1:1 consultation It is configured to provide a private zone.</t>
  </si>
  <si>
    <t>Mental health care system using metaverse</t>
  </si>
  <si>
    <t>Kim, Ga Young</t>
  </si>
  <si>
    <t>KR20220050108A</t>
  </si>
  <si>
    <t>A mental health care system using a metaverse, comprising: a metaverse server for providing an infrastructure of a mental health care service;a general user-side terminal for accessing the metaverse server to receive mental health care services; and an expert terminal for providing mental health care services by accessing the metaverse server, wherein the metaverse server connects one general user terminal and one expert terminal to enable 1:1 counseling Alternatively, the metaverse server is configured to provide a private zone in which a predetermined number of (N) general user-side terminals and one expert-side terminal can be connected to conduct 1:N consultation, and the metaverse server is configured to provide a private zone. The server includes: a bio-information collecting unit for collecting bio-information from a general user's bio-information collecting device; a bio-information analysis unit that analyzes bio-information of general users; a request receiving unit for receiving a consultation request or a healing request from a general user; an expert list providing unit that provides an expert list in response to a general user's request for consultation or automatically creates a matched expert list and provides it to the user; a general user database in which personal information of general users is stored; an expert database in which personal or profile information of experts is stored; a space generating unit that generates a virtual space corresponding to a consultation request of a general user; It includes an expert matching and calling unit for finally matching an expert in response to the request of the request receiving unit or calling an expert finally selected by the user, and the expert list providing unit searches the expert database based on the bio information analyzed through the bio information analysis unit. A recommended expert list is created and provided to the user, but the expert list providing unit determines that the risk of emergency death is high when the HRV-Index value is below the standard state and provides a list of experts engaged in a general hospital, or the expert list providing unit provides a list of experts in acute In the case of stress, autonomic imbalance, or physical tension, a list of professional psychiatric counselors is provided, or if the mental load is very low, the expert list provider judges that it is related to dementia and provides a list of dementia therapists And, the general user is configured to select an expert who wishes to consult based on the list provided on his or her terminal screen, and the expert's terminal is further provided with a group participation command, If an expert needs an external helper during 1:1 counseling or 1:N counseling through group participation command, an external user can additionally participate in 1:1 counseling or 1:N counseling using metaverse, characterized in that mental health care system.</t>
  </si>
  <si>
    <t>A mental health care system using a metaverse, comprising: a metaverse server for providing an infrastructure of a mental health care service;a general user-side terminal for accessing the metaverse server to receive mental health care services; and an expert terminal for providing mental health care services by accessing the metaverse server, wherein the metaverse server connects one general user terminal and one expert terminal to enable 1:1 counseling Alternatively, the metaverse server is configured to provide a private zone in which a predetermined number of (N) general user-side terminals and one expert-side terminal can be connected to conduct 1:N consultation, and the metaverse server is configured to provide a private zone. The server includes: a bio-information collecting unit for collecting bio-information from a general user's bio-information collecting device; a bio-information analysis unit that analyzes bio-information of general users; a request receiving unit for receiving a consultation request or a healing request from a general user; an expert list providing unit that provides an expert list in response to a general user's request for consultation or automatically creates a matched expert list and provides it to the user; a general user database in which personal information of general users is stored; an expert database in which personal or profile information of experts is stored; a space generating unit that generates a virtual space corresponding to a consultation request of a general user; It includes an expert matching and calling unit for finally matching an expert in response to the request of the request receiving unit or calling an expert finally selected by the user, and the expert list providing unit searches the expert database based on the bio information analyzed through the bio information analysis unit. A recommended expert list is created and provided to the user, but the expert list providing unit determines that the risk of emergency death is high when the HRV-Index value is below the standard state and provides a list of experts engaged in a general hospital, or the expert list providing unit provides a list of experts in acute In the case of stress, autonomic imbalance, or physical tension, a list of professional psychiatric counselors is provided, or if the mental load is very low, the expert list provider judges that it is related to dementia and provides a list of dementia therapists And, the general user is configured to select an expert who wishes to consult based on the list provided on his or her terminal screen, and the expert's terminal is further provided with a group participation command, If an expert needs an external helper during 1:1 counseling or 1:N counseling through group participation command, an external user can additionally participate in 1:1 counseling or 1:N counseling using metaverse, characterized in that mental health care system.
delete
The mental health care system using the metaverse according to claim 1, wherein the metaverse server is further configured to provide a healing zone to which a plurality of general user-side terminals can be connected.
The meta of claim 1, wherein the metaverse server is configured to create a private zone in response to a consultation request of a general user, and is configured to determine a user ID and an expert ID that can enter the private zone when the private zone is created. Mental health care system with bus.</t>
  </si>
  <si>
    <t>G16H02070000 | A61B00500000 | A61B00516000 | A61M02100000 | G16H08000000</t>
  </si>
  <si>
    <t>KR102438836B1</t>
  </si>
  <si>
    <t>KR102438836 B1</t>
  </si>
  <si>
    <t>I-000229601428</t>
  </si>
  <si>
    <t>20 years from 2022-04-22 (file date)</t>
  </si>
  <si>
    <t>https://patentscout.innography.com/share/7r8TnP2K0fPJGnW80CqzzA%3D%3D</t>
  </si>
  <si>
    <t>2022-08-24-DECISION TO GRANT OR REGISTRATION OF PATENT RIGHT|2022-08-29-WRITTEN DECISION TO GRANT</t>
  </si>
  <si>
    <t>https://patentscout.innography.com/share/7r8TnP2K0fPJGnW80CqzzA%3D%3D/download</t>
  </si>
  <si>
    <t>https://v3.espacenet.com/publicationDetails/biblio?CC=KR&amp;NR=102438836B1&amp;KC=B1&amp;FT=D&amp;date=20220831&amp;DB=EPODOC&amp;locale=</t>
  </si>
  <si>
    <t>KR20102438836 B1</t>
  </si>
  <si>
    <t>1.  A mental health care system using a metaverse, comprising: a metaverse server for providing an infrastructure of a mental health care service;a general user-side terminal for accessing the metaverse server to receive mental health care services; and an expert terminal for providing mental health care services by accessing the metaverse server, wherein the metaverse server connects one general user terminal and one expert terminal to enable 1 :1 counseling Alternatively, the metaverse server is configured to provide a private zone in which a predetermined number of (N) general user-side terminals and one expert-side terminal can be connected to conduct 1 :N consultation, and the metaverse server is configured to provide a private zone. The server includes: a bio-information collecting unit for collecting bio-information from a general user's bio-information collecting device; a bio-information analysis unit that analyzes bio-information of general users; a request receiving unit for receiving a consultation request or a healing request from a general user; an expert list providing unit that provides an expert list in response to a general user's request for consultation or automatically creates a matched expert list and provides it to the user; a general user database in which personal information of general users is stored; an expert database in which personal or profile information of experts is stored; a space generating unit that generates a virtual space corresponding to a consultation request of a general user; It includes an expert matching and calling unit for finally matching an expert in response to the request of the request receiving unit or calling an expert finally selected by the user, and the expert list providing unit searches the expert database based on the bio information analyzed through the bio information analysis unit. A recommended expert list is created and provided to the user, but the expert list providing unit determines that the risk of emergency death is high when the HRV-Index value is below the standard state and provides a list of experts engaged in a general hospital, or the expert list providing unit provides a list of experts in acute In the case of stress, autonomic imbalance, or physical tension, a list of professional psychiatric counselors is provided, or if the mental load is very low, the expert list provider judges that it is related to dementia and provides a list of dementia therapists And, the general user is configured to select an expert who wishes to consult based on the list provided on his or her terminal screen, and the expert's terminal is further provided with a group participation command, If an expert needs an external helper during 1 :1 counseling or 1 :N counseling through group participation command, an external user can additionally participate in 1 :1 counseling or 1 :N counseling using metaverse, characterized in that mental health care system.</t>
  </si>
  <si>
    <t>2021-12-21</t>
  </si>
  <si>
    <t>2021-12-03</t>
  </si>
  <si>
    <t>2041-12-03</t>
  </si>
  <si>
    <t>The present invention relates to a metaverse application and the metaverse agricultural and fishery product purchase application through non-face-to-face due to the expansion of the non-face-to-face market due to Corona 19 and the development of the metaverse industry is for convenience. Due to the expansion of the non-face-to-face market and the development of the metaverse industry the metaverse agricultural and fishery product purchase application through non-face-to-face has the effect of confirming the convenience.</t>
  </si>
  <si>
    <t>Metaverse application.</t>
  </si>
  <si>
    <t>purchase application|product purchase|fishery products|selection window|agricultural products|purchase selection</t>
  </si>
  <si>
    <t>Mun, Ga On</t>
  </si>
  <si>
    <t>KR20210172332A</t>
  </si>
  <si>
    <t>In the metaverse application, an application execution screen in the metaverse application, an avatar screen in the metaverse application, an agricultural farm selection window in the metaverse application, information on agricultural products and a farmer's harvest process image in the metaverse application are displayed on the metaverse application. A window to view, a purchase selection window to select and purchase agricultural products in the metaverse application, and the metaverse agricultural and fishery product purchase application through non-face-to-face due to the expansion of the non-face-to-face market due to Corona 19 and the development of the metaverse industry are the features of convenience. A metaverse application with {Metaverse Application.}.</t>
  </si>
  <si>
    <t>G06Q0030064100</t>
  </si>
  <si>
    <t>G06Q0030064100 | G06Q0030061300 | G06Q0050020000 | G06T0013400000</t>
  </si>
  <si>
    <t>G06Q03006000 | G06Q05002000 | G06T01340000</t>
  </si>
  <si>
    <t>KR20210154923A</t>
  </si>
  <si>
    <t>KR20210154923 A</t>
  </si>
  <si>
    <t>I-000219853700</t>
  </si>
  <si>
    <t>20 years from 2021-12-03 (file date)</t>
  </si>
  <si>
    <t>https://patentscout.innography.com/share/5KS3Z_0PjMjkxRFC-hqLtQ%3D%3D</t>
  </si>
  <si>
    <t>https://patentscout.innography.com/share/5KS3Z_0PjMjkxRFC-hqLtQ%3D%3D/download</t>
  </si>
  <si>
    <t>https://v3.espacenet.com/publicationDetails/biblio?CC=KR&amp;NR=20210154923A&amp;KC=A&amp;FT=D&amp;date=20211221&amp;DB=EPODOC&amp;locale=</t>
  </si>
  <si>
    <t>1.  In the metaverse application, an application execution screen in the metaverse application, an avatar screen in the metaverse application, an agricultural farm selection window in the metaverse application, information on agricultural products and a farmer's harvest process image in the metaverse application are displayed on the metaverse application. A window to view, a purchase selection window to select and purchase agricultural products in the metaverse application, and the metaverse agricultural and fishery product purchase application through non-face-to-face due to the expansion of the non-face-to-face market due to Corona 19 and the development of the metaverse industry are the features of convenience. A metaverse application with {Metaverse Application.}.</t>
  </si>
  <si>
    <t>KR102293743 B1 | KR20110000996 A | KR20130068593 A | KR20180121466 A</t>
  </si>
  <si>
    <t>2022-06-22</t>
  </si>
  <si>
    <t>The present invention relates to a metaverse avatar behavior analysis method comprising the steps of: collecting behavior information of an avatar in a metaverse in a server and storing it in a first storage unit; performing data grouping on the behavioral information of the avatar stored in the first storage unit using a recurrent neural network and storing the data in the second storage unit; analyzing the grouped data stored in the second storage unit and storing the grouped data in a third storage unit; and processing the data stored in the third storage unit and providing it as a personalized service to the avatar in the metaverse.</t>
  </si>
  <si>
    <t>Method for pattern-analyzing behavior of avatar in metaverse based on deep learning</t>
  </si>
  <si>
    <t>Intin Inc.</t>
  </si>
  <si>
    <t>INTIN INC.</t>
  </si>
  <si>
    <t>KR20220003149A</t>
  </si>
  <si>
    <t>A metaverse avatar behavior analysis method, comprising: collecting behavior information of an avatar in a metaverse in a server and storing it in a first storage unit in the form of sequence data, which is a set of related items;performing a primary analysis of grouping data using a recurrent neural network (RNN) on the behavior information of the avatar stored in the first storage unit and storing the data in a second storage unit;secondary analysis of the grouped data stored in the second storage unit and storing the grouped data in a third storage unit; and processing the data stored in the third storage unit and providing a personalized service to the avatar in the metaverse;and storing in the third storage unit, metaverse avatar behavior analysis, characterized in that, by secondary analysis of the primary analyzed data, at least one of the indicators of accuracy, precision, and recall is increased and stored. Way.</t>
  </si>
  <si>
    <t>A metaverse avatar behavior analysis method, comprising: collecting behavior information of an avatar in a metaverse in a server and storing it in a first storage unit in the form of sequence data, which is a set of related items;performing a primary analysis of grouping data using a recurrent neural network (RNN) on the behavior information of the avatar stored in the first storage unit and storing the data in a second storage unit;secondary analysis of the grouped data stored in the second storage unit and storing the grouped data in a third storage unit; and processing the data stored in the third storage unit and providing a personalized service to the avatar in the metaverse;and storing in the third storage unit, metaverse avatar behavior analysis, characterized in that, by secondary analysis of the primary analyzed data, at least one of the indicators of accuracy, precision, and recall is increased and stored. Way.
The method of claim 1, wherein the behavior information of the avatar includes information on accessing time to the metaverse, IP information, movement of the avatar, time and coordinates in the map, user manipulation information, and conversation information. A method of analyzing metaverse avatar behavior.
The method of claim 1, wherein the analyzing of the grouped data stored in the second storage unit comprises: a metaverse access time, an IP, a user authentication group based on a movement line, and a financial transaction group based on payment information generated within the metaverse. When it is determined that there is no matching group among the user authentication group, financial transaction group, and consumption propensity group when mapping with any one group among consumption propensity groups based on consumption propensity according to , item purchase and preferred location in the metaverse , A metaverse avatar behavior analysis method comprising the step of creating a new group.
The method of claim 2, wherein the data grouping is performed on the behavior information of the avatar stored in the first storage unit using a recurrent neural network, and the conversation information included in the behavior information of the avatar is subjected to natural language processing (NLP). , Metaverse avatar behavior analysis method.
The metaverse avatar behavior according to claim 1, further comprising, after providing the personalized service to the avatar in the metaverse, collecting and analyzing feedback information of the avatar for the provided service. analysis method.</t>
  </si>
  <si>
    <t>Kim, Bo|Lee, Kwansoo|Jang, Bogeum</t>
  </si>
  <si>
    <t>G06Q05010000 | G06N00302000 | G06Q03002000 | G06T01340000 | G06T01900000</t>
  </si>
  <si>
    <t>KR102412142B1</t>
  </si>
  <si>
    <t>KR102412142 B1</t>
  </si>
  <si>
    <t>I-000227297571</t>
  </si>
  <si>
    <t>https://patentscout.innography.com/share/Ur46zagn4CsOtw-bPh9gtQ%3D%3D</t>
  </si>
  <si>
    <t>2022-06-14-DECISION TO GRANT OR REGISTRATION OF PATENT RIGHT|2022-06-17-WRITTEN DECISION TO GRANT</t>
  </si>
  <si>
    <t>https://patentscout.innography.com/share/Ur46zagn4CsOtw-bPh9gtQ%3D%3D/download</t>
  </si>
  <si>
    <t>https://v3.espacenet.com/publicationDetails/biblio?CC=KR&amp;NR=102412142B1&amp;KC=B1&amp;FT=D&amp;date=20220622&amp;DB=EPODOC&amp;locale=</t>
  </si>
  <si>
    <t>KR20102412142 B1</t>
  </si>
  <si>
    <t>1.  A metaverse avatar behavior analysis method, comprising: collecting behavior information of an avatar in a metaverse in a server and storing it in a first storage unit in the form of sequence data, which is a set of related items;performing a primary analysis of grouping data using a recurrent neural network (RNN) on the behavior information of the avatar stored in the first storage unit and storing the data in a second storage unit;secondary analysis of the grouped data stored in the second storage unit and storing the grouped data in a third storage unit; and processing the data stored in the third storage unit and providing a personalized service to the avatar in the metaverse;and storing in the third storage unit, metaverse avatar behavior analysis, characterized in that, by secondary analysis of the primary analyzed data, at least one of the indicators of accuracy, precision, and recall is increased and stored. Way.</t>
  </si>
  <si>
    <t>JP2014215909 A | KR0131235 Y1 | KR100277618 B1 | KR102263172 B1 | KR20150060047 A | KR20210058754 A</t>
  </si>
  <si>
    <t>2022-03-16</t>
  </si>
  <si>
    <t>2042-03-16</t>
  </si>
  <si>
    <t>According to an embodiment of the present invention a recycling resource recovery compensation device linking a real space and a metaverse that provides compensation for the recovery of recycled resources by linking a real space and a metaverse is a method for a user to recover recycled resources collected in a real space. A first collection information receiving unit that is connected to the first collection device and receives first collection information including information on the type weight and number of recycled resources collected by the user from the first collection device; It is linked to a first reward point transmitter that calculates a first reward point based on the information and transmits it to the electronic wallet of the user terminal used by the user and a second collection device that collects recycled resources collected by the user from the metaverse. a second collection information receiving unit for receiving second collection information including information on the type weight and number of recycled resources collected by the user from the second collection device; and a second reward point transmitter that calculates a second reward point based on the second collection information and transmits it to the user&amp;#39;s electronic wallet wherein the first reward point and the second reward point are in real space and metaverse. It is characterized in that it can be substituted for cash in the affiliate server.</t>
  </si>
  <si>
    <t>Device for compensation of collecting recyled resource linnking real space and metaverse</t>
  </si>
  <si>
    <t>Tr</t>
  </si>
  <si>
    <t>KR20220032887A</t>
  </si>
  <si>
    <t>In the recycling resource recovery compensation device linking the real space and the metaverse to provide compensation for the recovery of recycled resources by linking the real space and the metaverse, the user is linked with the first recovery device for recovering the recycled resources collected in the real space a first collection information receiving unit configured to receive first collection information including information on the type, weight, and number of recycled resources collected by the user from the first collection device;a first reward point transmitter for calculating a first reward point based on the first collection information and transmitting it to the electronic wallet of the user terminal used by the user;In connection with the second recovery device for recovering the recycled resources collected by the user in the metaverse, the second recovery information including information on the type, weight, and number of the recycled resources collected by the user is received from the second recovery device a second collection information receiving unit;a second reward point transmitter for calculating a second reward point based on the second collection information and transmitting it to the user's electronic wallet;a weight calculation unit that calculates in real time the weight of recycled resources recovered from the meta bus for a set period based on the second collection information;a number calculation unit for calculating the number of recycled resources recovered from the meta bus for a set period in real time based on the second collection information; When the weight of the recycled resource recovered from the real space based on the first recovery information is less than a set ratio with respect to the weight calculated by the weight calculator, and when the weight of the recycled resource recovered from the real space based on the first recovery information is recovered in the real space a block signal generation unit for generating a block signal for blocking transmission of the second compensation point when the number of recycled resources is less than a set ratio with respect to the number calculated by the number calculation unit;When the block signal is generated, a required weight calculating unit that calculates a required weight that is the weight of a recycled resource in a real space required to reach a set ratio with respect to the weight calculated by the weight calculation unit and transmits it to the user terminal; When the block signal is generated, a required number calculation unit for calculating the required number that is the number of recycled resources in the real space required to reach a set ratio with respect to the number calculated by the number calculating unit and transmitting it to the user terminal;When the weight of recycled resources corresponding to the required weight is collected from the first collection device and the first collection information is received in real time, and the number of recycled resources corresponding to the required number is collected from the first collection device, a cancellation signal generation unit for generating a cancellation signal for canceling the block of the second reward point transmission when the first number of times information is received in real time;an aggregate information generation unit generating aggregate information that aggregates the types of recycled resources recovered from the metaverse for a set period from users for each set area in the metaverse based on the second collection information; Based on the aggregate information, in the order of the less recovered resource types, the first weight information obtained by calculating weights in inverse proportion to the weight ratio of the recovered resource types is generated and transmitted to the user terminals of users in the set area. weight information transmitter;a rating setting unit for adding up the weight and number of recycled resources recovered from the real space for each user for a set period based on the first collection information, respectively, and setting a grade in proportion to the summed weight and number; and a second weight information transmitter for generating second weight information calculated by differentially calculating weights for each user in proportion to the rating set by the rating setting unit, and transmitting the second weight information to the user terminal of the corresponding user, the first reward point and the The second reward point can be substituted for cash in the affiliate server of the real space and the meta bus, and when the block signal is generated, the second reward point transmitter does not transmit the calculated second reward point, and the release signal is generated When the second reward point transmitter performs a blocked second reward point transfer, the first reward point transmitter determines the type of recycled resources collected from users in a set area for a set period based on the first collection information. A weight is given to the first weight information, and a first compensation point is calculated in proportion to the weight, The second reward point transmitter gives the weight of the second weight information to the weight and number of recycled resources collected from users for a set period based on the second collection information, and uses the second weight information in proportion to the weight and number. Recycling resource recovery compensation device linking real space and metaverse, characterized in that it calculates compensation points.</t>
  </si>
  <si>
    <t>In the recycling resource recovery compensation device linking the real space and the metaverse to provide compensation for the recovery of recycled resources by linking the real space and the metaverse, the user is linked with the first recovery device for recovering the recycled resources collected in the real space a first collection information receiving unit configured to receive first collection information including information on the type, weight, and number of recycled resources collected by the user from the first collection device;a first reward point transmitter for calculating a first reward point based on the first collection information and transmitting it to the electronic wallet of the user terminal used by the user;In connection with the second recovery device for recovering the recycled resources collected by the user in the metaverse, the second recovery information including information on the type, weight, and number of the recycled resources collected by the user is received from the second recovery device a second collection information receiving unit;a second reward point transmitter for calculating a second reward point based on the second collection information and transmitting it to the user's electronic wallet;a weight calculation unit that calculates in real time the weight of recycled resources recovered from the meta bus for a set period based on the second collection information;a number calculation unit for calculating the number of recycled resources recovered from the meta bus for a set period in real time based on the second collection information; When the weight of the recycled resource recovered from the real space based on the first recovery information is less than a set ratio with respect to the weight calculated by the weight calculator, and when the weight of the recycled resource recovered from the real space based on the first recovery information is recovered in the real space a block signal generation unit for generating a block signal for blocking transmission of the second compensation point when the number of recycled resources is less than a set ratio with respect to the number calculated by the number calculation unit;When the block signal is generated, a required weight calculating unit that calculates a required weight that is the weight of a recycled resource in a real space required to reach a set ratio with respect to the weight calculated by the weight calculation unit and transmits it to the user terminal; When the block signal is generated, a required number calculation unit for calculating the required number that is the number of recycled resources in the real space required to reach a set ratio with respect to the number calculated by the number calculating unit and transmitting it to the user terminal;When the weight of recycled resources corresponding to the required weight is collected from the first collection device and the first collection information is received in real time, and the number of recycled resources corresponding to the required number is collected from the first collection device, a cancellation signal generation unit for generating a cancellation signal for canceling the block of the second reward point transmission when the first number of times information is received in real time;an aggregate information generation unit generating aggregate information that aggregates the types of recycled resources recovered from the metaverse for a set period from users for each set area in the metaverse based on the second collection information; Based on the aggregate information, in the order of the less recovered resource types, the first weight information obtained by calculating weights in inverse proportion to the weight ratio of the recovered resource types is generated and transmitted to the user terminals of users in the set area. weight information transmitter;a rating setting unit for adding up the weight and number of recycled resources recovered from the real space for each user for a set period based on the first collection information, respectively, and setting a grade in proportion to the summed weight and number; and a second weight information transmitter for generating second weight information calculated by differentially calculating weights for each user in proportion to the rating set by the rating setting unit, and transmitting the second weight information to the user terminal of the corresponding user, the first reward point and the The second reward point can be substituted for cash in the affiliate server of the real space and the meta bus, and when the block signal is generated, the second reward point transmitter does not transmit the calculated second reward point, and the release signal is generated When the second reward point transmitter performs a blocked second reward point transfer, the first reward point transmitter determines the type of recycled resources collected from users in a set area for a set period based on the first collection information. A weight is given to the first weight information, and a first compensation point is calculated in proportion to the weight, The second reward point transmitter gives the weight of the second weight information to the weight and number of recycled resources collected from users for a set period based on the second collection information, and uses the second weight information in proportion to the weight and number. Recycling resource recovery compensation device linking real space and metaverse, characterized in that it calculates compensation points.
delete
delete
delete
delete
In a resource recovery compensation method using a recycled resource recovery compensation device linking a real space and a metaverse to provide compensation for recycling resource recovery by linking a real space and a metaverse, the first recovery information receiving unit collects the user in the real space receiving, from the first recovery device, first collection information including information on the type and weight of the recycled resource collected by the user in connection with a first recovery device for recovering one recycled resource;calculating, by a first reward point transmitting unit, a first reward point based on the first collection information and transmitting it to an electronic wallet of a user terminal used by the user;The second recovery information receiving unit is linked with a second recovery device for recovering the recycled resources collected by the user in the metaverse, and the second recovery including information on the type and weight of the recycled resources collected by the user from the second recovery device receiving information; calculating, by a second reward point transmitting unit, a second reward point based on the second collection information and transmitting it to the user's electronic wallet;calculating, by a weight calculator, the weight of recycled resources recovered from the meta bus for a set period in real time based on the second collection information;calculating, by a number calculating unit, the number of recycled resources recovered from the meta bus for a set period in real time based on the second collection information; When the weight of the recycled resource recovered from the real space by the block signal generating unit based on the first collection information is less than a set ratio with respect to the weight calculated by the weight calculating unit, and based on the first collection information, the generating a block signal for blocking transmission of the second reward point when the number of recycled resources recovered from the real space is less than a set ratio with respect to the number calculated by the number calculating unit;When the required weight calculation unit generates the block signal, the weight calculated by the weight calculation unit calculates the required weight that is the weight of the recycled resources in the real space required to reach a set ratio and transmits it to the user terminal step;When the required number calculating unit generates the block signal, calculating the required number, which is the number of recycled resources in the real space required to reach a set ratio with respect to the number calculated by the number calculating unit, is transmitted to the user terminal step;When the weight of the recycled resource corresponding to the required weight is collected from the first collection device by a release signal generator and the first collection information is received in real time, and the number of recycled resources corresponding to the required number is the first recovery generating a release signal for unblocking the transmission of the second reward point when the first collection information is collected from a device and received in real time;generating, by an aggregate information generator, aggregate information of types of recycled resources recovered from the metaverse for a set period from users for each set area in the metaverse on the basis of the second collection information; Based on the aggregate information, the first weight information transmitter generates first weight information in which weights are calculated in inverse proportion to the weight ratio of the recovered resource types in the order of the least recovered resource types, and the users of the set area transmitting to the terminal;adding, by a rating setting unit, the weight and number of recycled resources recovered in the real space for each user for a set period based on the first collection information, respectively, and setting a rating in proportion to the summed weight and number; and generating, by a second weight information transmitting unit, second weight information calculated by differentiating weights for each user in proportion to the level set by the level setting unit, and transmitting the generated second weight information to the user terminal of the corresponding user, the first compensation The point and the second reward point can be substituted for cash in the affiliate server of the real space and the meta bus, and when the block signal is generated, the second reward point transmitter does not transmit the calculated second reward point, and the release When a signal is generated, the second reward point transmitter transmits the blocked second reward point, and in the step of transmitting the first reward point, the first reward point transmitter transmits the first reward point for a set period based on the first number of times. A weight of the first weight information is given to the type of recycled resource collected from users in a set area, and a first compensation point is calculated in proportion to the weight, In the step of transmitting the second reward point, the second reward point transmitter gives the weight of the second weight information to the weight and number of recycled resources collected from users for a set period based on the second collection information,, a recycling resource recovery compensation method linking the real space and the metaverse, characterized in that the second compensation point is calculated in proportion to the weight and the number.
delete</t>
  </si>
  <si>
    <t>Jang, Sung Kyun|Kang, Sung Bok</t>
  </si>
  <si>
    <t>G06Q05026000 | G06Q02036000 | G06Q03002000 | G06Q05010000 | G06T01340000 | G06T01900000</t>
  </si>
  <si>
    <t>KR102462251B1</t>
  </si>
  <si>
    <t>KR102462251 B1</t>
  </si>
  <si>
    <t>I-000232497690</t>
  </si>
  <si>
    <t>20 years from 2022-03-16 (file date)</t>
  </si>
  <si>
    <t>https://patentscout.innography.com/share/YpiAKY_IF_8ZuCdYwQWBAg%3D%3D</t>
  </si>
  <si>
    <t>2022-10-27-DECISION TO GRANT OR REGISTRATION OF PATENT RIGHT|2022-10-28-WRITTEN DECISION TO GRANT</t>
  </si>
  <si>
    <t>https://patentscout.innography.com/share/YpiAKY_IF_8ZuCdYwQWBAg%3D%3D/download</t>
  </si>
  <si>
    <t>https://v3.espacenet.com/publicationDetails/biblio?CC=KR&amp;NR=102462251B1&amp;KC=B1&amp;FT=D&amp;date=20221103&amp;DB=EPODOC&amp;locale=</t>
  </si>
  <si>
    <t>KR20102462251 B1</t>
  </si>
  <si>
    <t>1.  In the recycling resource recovery compensation device linking the real space and the metaverse to provide compensation for the recovery of recycled resources by linking the real space and the metaverse, the user is linked with the first recovery device for recovering the recycled resources collected in the real space a first collection information receiving unit configured to receive first collection information including information on the type, weight, and number of recycled resources collected by the user from the first collection device;a first reward point transmitter for calculating a first reward point based on the first collection information and transmitting it to the electronic wallet of the user terminal used by the user;In connection with the second recovery device for recovering the recycled resources collected by the user in the metaverse, the second recovery information including information on the type, weight, and number of the recycled resources collected by the user is received from the second recovery device a second collection information receiving unit;a second reward point transmitter for calculating a second reward point based on the second collection information and transmitting it to the user's electronic wallet;a weight calculation unit that calculates in real time the weight of recycled resources recovered from the meta bus for a set period based on the second collection information;a number calculation unit for calculating the number of recycled resources recovered from the meta bus for a set period in real time based on the second collection information; When the weight of the recycled resource recovered from the real space based on the first recovery information is less than a set ratio with respect to the weight calculated by the weight calculator, and when the weight of the recycled resource recovered from the real space based on the first recovery information is recovered in the real space a block signal generation unit for generating a block signal for blocking transmission of the second compensation point when the number of recycled resources is less than a set ratio with respect to the number calculated by the number calculation unit;When the block signal is generated, a required weight calculating unit that calculates a required weight that is the weight of a recycled resource in a real space required to reach a set ratio with respect to the weight calculated by the weight calculation unit and transmits it to the user terminal; When the block signal is generated, a required number calculation unit for calculating the required number that is the number of recycled resources in the real space required to reach a set ratio with respect to the number calculated by the number calculating unit and transmitting it to the user terminal;When the weight of recycled resources corresponding to the required weight is collected from the first collection device and the first collection information is received in real time, and the number of recycled resources corresponding to the required number is collected from the first collection device, a cancellation signal generation unit for generating a cancellation signal for canceling the block of the second reward point transmission when the first number of times information is received in real time;an aggregate information generation unit generating aggregate information that aggregates the types of recycled resources recovered from the metaverse for a set period from users for each set area in the metaverse based on the second collection information; Based on the aggregate information, in the order of the less recovered resource types, the first weight information obtained by calculating weights in inverse proportion to the weight ratio of the recovered resource types is generated and transmitted to the user terminals of users in the set area. weight information transmitter;a rating setting unit for adding up the weight and number of recycled resources recovered from the real space for each user for a set period based on the first collection information, respectively, and setting a grade in proportion to the summed weight and number; and a second weight information transmitter for generating second weight information calculated by differentially calculating weights for each user in proportion to the rating set by the rating setting unit, and transmitting the second weight information to the user terminal of the corresponding user, the first reward point and the The second reward point can be substituted for cash in the affiliate server of the real space and the meta bus, and when the block signal is generated, the second reward point transmitter does not transmit the calculated second reward point, and the release signal is generated When the second reward point transmitter performs a blocked second reward point transfer, the first reward point transmitter determines the type of recycled resources collected from users in a set area for a set period based on the first collection information. A weight is given to the first weight information, and a first compensation point is calculated in proportion to the weight, The second reward point transmitter gives the weight of the second weight information to the weight and number of recycled resources collected from users for a set period based on the second collection information, and uses the second weight information in proportion to the weight and number. Recycling resource recovery compensation device linking real space and metaverse, characterized in that it calculates compensation points.</t>
  </si>
  <si>
    <t>6.  In a resource recovery compensation method using a recycled resource recovery compensation device linking a real space and a metaverse to provide compensation for recycling resource recovery by linking a real space and a metaverse, the first recovery information receiving unit collects the user in the real space receiving, from the first recovery device, first collection information including information on the type and weight of the recycled resource collected by the user in connection with a first recovery device for recovering one recycled resource;calculating, by a first reward point transmitting unit, a first reward point based on the first collection information and transmitting it to an electronic wallet of a user terminal used by the user;The second recovery information receiving unit is linked with a second recovery device for recovering the recycled resources collected by the user in the metaverse, and the second recovery including information on the type and weight of the recycled resources collected by the user from the second recovery device receiving information; calculating, by a second reward point transmitting unit, a second reward point based on the second collection information and transmitting it to the user's electronic wallet;calculating, by a weight calculator, the weight of recycled resources recovered from the meta bus for a set period in real time based on the second collection information;calculating, by a number calculating unit, the number of recycled resources recovered from the meta bus for a set period in real time based on the second collection information; When the weight of the recycled resource recovered from the real space by the block signal generating unit based on the first collection information is less than a set ratio with respect to the weight calculated by the weight calculating unit, and based on the first collection information, the generating a block signal for blocking transmission of the second reward point when the number of recycled resources recovered from the real space is less than a set ratio with respect to the number calculated by the number calculating unit;When the required weight calculation unit generates the block signal, the weight calculated by the weight calculation unit calculates the required weight that is the weight of the recycled resources in the real space required to reach a set ratio and transmits it to the user terminal step;When the required number calculating unit generates the block signal, calculating the required number, which is the number of recycled resources in the real space required to reach a set ratio with respect to the number calculated by the number calculating unit, is transmitted to the user terminal step;When the weight of the recycled resource corresponding to the required weight is collected from the first collection device by a release signal generator and the first collection information is received in real time, and the number of recycled resources corresponding to the required number is the first recovery generating a release signal for unblocking the transmission of the second reward point when the first collection information is collected from a device and received in real time;generating, by an aggregate information generator, aggregate information of types of recycled resources recovered from the metaverse for a set period from users for each set area in the metaverse on the basis of the second collection information; Based on the aggregate information, the first weight information transmitter generates first weight information in which weights are calculated in inverse proportion to the weight ratio of the recovered resource types in the order of the least recovered resource types, and the users of the set area transmitting to the terminal;adding, by a rating setting unit, the weight and number of recycled resources recovered in the real space for each user for a set period based on the first collection information, respectively, and setting a rating in proportion to the summed weight and number; and generating, by a second weight information transmitting unit, second weight information calculated by differentiating weights for each user in proportion to the level set by the level setting unit, and transmitting the generated second weight information to the user terminal of the corresponding user, the first compensation The point and the second reward point can be substituted for cash in the affiliate server of the real space and the meta bus, and when the block signal is generated, the second reward point transmitter does not transmit the calculated second reward point, and the release When a signal is generated, the second reward point transmitter transmits the blocked second reward point, and in the step of transmitting the first reward point, the first reward point transmitter transmits the first reward point for a set period based on the first number of times. A weight of the first weight information is given to the type of recycled resource collected from users in a set area, and a first compensation point is calculated in proportion to the weight, In the step of transmitting the second reward point, the second reward point transmitter gives the weight of the second weight information to the weight and number of recycled resources collected from users for a set period based on the second collection information,, a recycling resource recovery compensation method linking the real space and the metaverse, characterized in that the second compensation point is calculated in proportion to the weight and the number.</t>
  </si>
  <si>
    <t>KR101901261 B1 | KR101943585 B1 | KR102021848 B1 | KR102030350 B1 | KR102130750 B1 | KR20190095671 A | KR20200053232 A</t>
  </si>
  <si>
    <t>2022-07-26</t>
  </si>
  <si>
    <t>The present invention relates to a system and method for generating an avatar from user information providing it to an external metaverse platform and recommending a user-customized digital therapeutic agent and receives the user&amp;#39;s biometric information activity information and medical information through a VR device. and based on this an avatar can be created in virtual reality information about the avatar is provided to an external metaverse platform and each of the plurality of external metaverse platforms provided by the user based on user information The recommended digital treatment is calculated by calculating the recommended value for the digital treatment compared with the user value calculated with the user&amp;#39;s information and the recommended digital treatment is derived. The present invention relates to a system and method for generating an avatar to update the recommendation value providing it to an external metaverse platform and recommending a user-customized digital therapeutic agent.</t>
  </si>
  <si>
    <t>System and method for generating an avatar with user information, providing it to an external metaverse platform, and recommending a user-customized dtx(digital therapeutics)</t>
  </si>
  <si>
    <t>KR20220027139A</t>
  </si>
  <si>
    <t>A system for generating an avatar from user information, providing it to an external metaverse platform, and recommending a user-customized digital therapy, comprising: an HMD mounted to a user to provide images and sounds for virtual reality, and to detect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 In the digital therapy DB including a plurality of digital therapeutic drug lists, the recommended value included in each digital therapeutic drug list is compared with the user's value calculated based on EEG information and pulse information among the user's biometric information, and 1 for the user a digital therapeutic agent recommendation unit that derives the above recommended digital therapeutic agents; and an avatar update unit that provides information about the avatar to an external metaverse platform, receives interaction information that a user has interacted with using the avatar on the external metaverse platform, and updates the avatar; including, wherein the VR service unit includes: a virtual reality realization unit that is available only to the user and implements a virtual reality in which the plurality of virtual reality contents are provided; a VR communication unit that communicates with the VR device to exchange information;the user's biometric information received from the VR device;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that inputs the biometric information into one or more artificial neural network models to determine aging information of the avatar, and adds a first graphic effect corresponding to the aging information to the basic appearance;a movement speed determiner for determining the movement speed of the avatar in a manner that increases the movement speed as the movement distance or number of steps increases, based on the movement distance or the number of steps for a preset time derived from the user's smartphone; and determining disease information of the avatar based on medical information including at least one medical history input by the user, and adding a second graphic effect corresponding to the disease information to the basic appearance to which the first graphic effect is added. A first content, including: a disease information determination unit, wherein the VR content providing unit provides content for which the difficulty is determined based on the aging information of the user, and the user's cognitive ability and concentration reinforcement training can be performed provider; a second content providing unit for providing content for which difficulty is determined based on the activity information of the corresponding user, and for which the user's physical activity reinforcement training can be performed;a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aging information adjusted by the aging information adjustment unit.</t>
  </si>
  <si>
    <t>A system for generating an avatar from user information, providing it to an external metaverse platform, and recommending a user-customized digital therapy, comprising: an HMD mounted to a user to provide images and sounds for virtual reality, and to detect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 In the digital therapy DB including a plurality of digital therapeutic drug lists, the recommended value included in each digital therapeutic drug list is compared with the user's value calculated based on EEG information and pulse information among the user's biometric information, and 1 for the user a digital therapeutic agent recommendation unit that derives the above recommended digital therapeutic agents; and an avatar update unit that provides information about the avatar to an external metaverse platform, receives interaction information that a user has interacted with using the avatar on the external metaverse platform, and updates the avatar; including, wherein the VR service unit includes: a virtual reality realization unit that is available only to the user and implements a virtual reality in which the plurality of virtual reality contents are provided; a VR communication unit that communicates with the VR device to exchange information;
the user's biometric information received from the VR device;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that inputs the biometric information into one or more artificial neural network models to determine aging information of the avatar, and adds a first graphic effect corresponding to the aging information to the basic appearance;a movement speed determiner for determining the movement speed of the avatar in a manner that increases the movement speed as the movement distance or number of steps increases, based on the movement distance or the number of steps for a preset time derived from the user's smartphone; and determining disease information of the avatar based on medical information including at least one medical history input by the user, and adding a second graphic effect corresponding to the disease information to the basic appearance to which the first graphic effect is added. A first content, including: a disease information determination unit, wherein the VR content providing unit provides content for which the difficulty is determined based on the aging information of the user, and the user's cognitive ability and concentration reinforcement training can be performed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aging information adjusted by the aging information adjustment unit.
The method according to claim 1, wherein the biometric information, image information received through the camera device; the EEG information of the user measured by the EEG meter; and the user's pulse information measured by the pulse meter.
The method according to claim 1, wherein the digital therapeutic agent DB includes a plurality of external metaverse platform lists and a plurality of digital therapeutic agent lists provided by each of the plurality of external metaverse platforms, and each digital therapeutic agent list includes: A system for recommending a user-customized digital therapeutic agent, including a preset recommendation value based on a category for the medical information input by the , and specific EEG information and specific pulse information for each digital therapeutic agent.
The method according to claim 3, wherein the digital therapeutic agent recommendation unit receives, from the digital therapeutic agent DB, one or more digital therapeutic agent preliminary recommendations list including the category matching the medical information input by the user from among the plurality of digital therapeutic agent lists. preliminary recommendation list receiving step;a user numerical calculation step of calculating a user numerical value based on the EEG information and the pulse information of the user; and a recommended digital treatment formulation step of deriving one or more recommended digital treatments based on the difference between the user values and the respective recommended values of the digital treatments corresponding to the preliminary recommendation list.
5. The method of claim 4, wherein the digital treatment product recommendation unit comprises: an information receiving step of receiving the interaction information from the avatar update unit; and a recommendation value updating step of extracting information related to a digital therapeutic agent from among the interaction information, and updating the recommended value of the corresponding digital therapeutic agent in the digital therapeutic agent DB based on the information related to the digital therapeutic agent; further comprising; A system for recommending a user-customized digital therapeutic agent that performs the step of receiving the information or the step of updating the recommended value only when the recommended digital treatment provided by the metaverse platform is used.
The method according to claim 1, wherein the avatar update unit provides an avatar information providing step of providing information about the avatar to an external metaverse platform;an interaction information receiving step of receiving interaction information corresponding to the avatar from the external metaverse platform; and an avatar update step of extracting avatar-related information from the interaction information and updating the avatar based on the avatar-related information.
delete
The method according to claim 1, wherein the aging information determiner comprises: a first artificial neural network that receives the image information received through the camera device and outputs first aging information; a second artificial neural network that receives the user's EEG information measured by the EEG and outputs second aging information; a third artificial neural network for receiving the user's pulse information measured by the pulse meter and outputting third aging information; and a comprehensive judgment module for deriving final aging information by summing the first aging information, the second aging information, and the third aging information.
delete
The method according to claim 1, wherein the first content provided to the user by the first content providing unit is content for reinforcing the user's cognitive ability and concentration, including finding a wrong picture, arithmetic, and jigsaw puzzle, and the second content The second content provided to the user by the content providing unit is content capable of performing the user's physical activity strengthening training including walking, stretching and squatting, and the third content provided to the user by the third content providing unit 3 content, the user performs intensive training on the injured body part, or performs intensive training on cognitive ability enhancement including the user's memory, judgment, language ability and the ability to grasp space and time. A system that recommends user-customized digital therapy, which is content for training users in weak areas.
The method according to claim 1, wherein the aging information control unit, Concentration score calculating step of calculating an intensity score based on the user's EEG information measured while the user performs the first content;an activity score calculating step of calculating an activity score based on the user's pulse information and EMG information measured while the user performs the second content;an execution result score calculation step of calculating a first score, a second score, and a third score, respectively, based on the execution result of the first content, the execution result of the second content, and the execution result of the third content; and an aging information reduction step of reducing aging information based on the sum of the first score, the second score, the third score, the concentration score, and the activity score. Recommended system.
A method for recommending a user-customized digital treatment agent implemented in a system for generating an avatar with user information, providing it to an external metaverse platform, and recommending a user-customized digital treatment agent, the system comprising: and an HMD that provides a sound and senses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user;In the digital therapy DB including a plurality of digital therapeutic drug lists, the recommended value included in each digital therapeutic drug list is compared with the user's value calculated based on EEG information and pulse information among the user's biometric information, and 1 for the user a digital therapeutic agent recommendation unit that derives the above recommended digital therapeutic agents; and an avatar update unit that provides information about the avatar to an external metaverse platform, receives interaction information that a user has interacted with using the avatar on the external metaverse platform, and updates the avatar; including, wherein the method comprises, by the VR service unit, a virtual reality implementation step of realizing, by the VR service unit, virtual reality available only to the user and provided with a plurality of virtual reality contents;a VR communication step of communicating with the VR device and exchanging information by the VR service unit;the user's biometric information received from the VR device by the VR service unit; and a user information input step of receiving user information including; and activity information and medical information received from the user's smartphone;an avatar generation step of generating, by the VR service unit, an avatar of the user based on the user information in the virtual reality implemented by the virtual reality realization step; and providing, by the VR service unit, the plurality of contents to the avatar created in virtual reality, and updating the appearance of the avatar whenever performing the VR contents providing step; wherein the avatar creation step comprises: , deriving each appearance characteristic information from a plurality of the image information, averaging the plurality of appearance characteristic information to derive a character determination parameter in the form of a one-dimensional vector, and based on the character determination parameter, the basic avatar Basic appearance determining step of determining the appearance; an aging information determining step of inputting the biometric information into one or more artificial neural network models to determine aging information of the avatar, and adding a first graphic effect corresponding to the aging information to the basic appearance;a movement speed determining step of determining the movement speed of the avatar in such a way that the movement speed increases as the movement distance or number of steps increases, based on the movement distance or number of steps for a preset time derived from the user's smartphone; and determining disease information of the avatar based on medical information including at least one medical history input by the user, and adding a second graphic effect corresponding to the disease information to the basic appearance to which the first graphic effect is added. A first step, including a disease information determination step, wherein the VR content providing step provides content for which the difficulty is determined based on the aging information of the user and the user can perform cognitive ability and concentration strengthening training content providing step; a second content providing step of determining a difficulty level based on the activity information of the corresponding user and providing content capable of performing the user's physical activity reinforcement training;
a third content providing step of providing content in which a type of content is determined based on the disease information of the user and training for a body part or cognitive ability requiring rehabilitation training is performed; The result of performing the contents provided in the first contents providing step, the second contents providing step, and the third contents providing step, EEG information measured by the EEG measuring device during the execution period for the contents, and An aging information control step of calculating one or more scores based on the pulse information measured by the pulse meter, and adjusting the aging information according to the one or more scores; and an avatar appearance update step of updating the appearance of the user's avatar by adjusting the first graphic effect according to the adjusted aging information by the aging information adjustment step.</t>
  </si>
  <si>
    <t>A61B0005024000</t>
  </si>
  <si>
    <t>G16H02030000</t>
  </si>
  <si>
    <t>G16H02030000 | A61B00502400 | A61B00511000 | A61B00537200 | A63B02400000 | G06T01340000 | G06T01900000 | G16H01060000 | G16H02070000 | G16H05020000 | G16H05030000</t>
  </si>
  <si>
    <t>KR102425479B1</t>
  </si>
  <si>
    <t>KR102425479 B1</t>
  </si>
  <si>
    <t>I-000228315672</t>
  </si>
  <si>
    <t>https://patentscout.innography.com/share/EelUxRLkqkvYuO0Yp-dLEg%3D%3D</t>
  </si>
  <si>
    <t>2022-07-19-DECISION TO GRANT OR REGISTRATION OF PATENT RIGHT|2022-07-21-WRITTEN DECISION TO GRANT</t>
  </si>
  <si>
    <t>https://patentscout.innography.com/share/EelUxRLkqkvYuO0Yp-dLEg%3D%3D/download</t>
  </si>
  <si>
    <t>https://v3.espacenet.com/publicationDetails/biblio?CC=KR&amp;NR=102425479B1&amp;KC=B1&amp;FT=D&amp;date=20220726&amp;DB=EPODOC&amp;locale=</t>
  </si>
  <si>
    <t>KR20102425479 B1</t>
  </si>
  <si>
    <t>1.  A system for generating an avatar from user information, providing it to an external metaverse platform, and recommending a user-customized digital therapy, comprising: an HMD mounted to a user to provide images and sounds for virtual reality, and to detect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 In the digital therapy DB including a plurality of digital therapeutic drug lists, the recommended value included in each digital therapeutic drug list is compared with the user's value calculated based on EEG information and pulse information among the user's biometric information, and 1 for the user a digital therapeutic agent recommendation unit that derives the above recommended digital therapeutic agents; and an avatar update unit that provides information about the avatar to an external metaverse platform, receives interaction information that a user has interacted with using the avatar on the external metaverse platform, and updates the avatar; including, wherein the VR service unit includes: a virtual reality realization unit that is available only to the user and implements a virtual reality in which the plurality of virtual reality contents are provided; a VR communication unit that communicates with the VR device to exchange information;
the user's biometric information received from the VR device;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that inputs the biometric information into one or more artificial neural network models to determine aging information of the avatar, and adds a first graphic effect corresponding to the aging information to the basic appearance;a movement speed determiner for determining the movement speed of the avatar in a manner that increases the movement speed as the movement distance or number of steps increases, based on the movement distance or the number of steps for a preset time derived from the user's smartphone; and determining disease information of the avatar based on medical information including at least one medical history input by the user, and adding a second graphic effect corresponding to the disease information to the basic appearance to which the first graphic effect is added. A first content, including: a disease information determination unit, wherein the VR content providing unit provides content for which the difficulty is determined based on the aging information of the user, and the user's cognitive ability and concentration reinforcement training can be performed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aging information adjusted by the aging information adjustment unit.</t>
  </si>
  <si>
    <t>12.  A method for recommending a user-customized digital treatment agent implemented in a system for generating an avatar with user information, providing it to an external metaverse platform, and recommending a user-customized digital treatment agent, the system comprising: and an HMD that provides a sound and senses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user;In the digital therapy DB including a plurality of digital therapeutic drug lists, the recommended value included in each digital therapeutic drug list is compared with the user's value calculated based on EEG information and pulse information among the user's biometric information, and 1 for the user a digital therapeutic agent recommendation unit that derives the above recommended digital therapeutic agents; and an avatar update unit that provides information about the avatar to an external metaverse platform, receives interaction information that a user has interacted with using the avatar on the external metaverse platform, and updates the avatar; including, wherein the method comprises, by the VR service unit, a virtual reality implementation step of realizing, by the VR service unit, virtual reality available only to the user and provided with a plurality of virtual reality contents;a VR communication step of communicating with the VR device and exchanging information by the VR service unit;the user's biometric information received from the VR device by the VR service unit; and a user information input step of receiving user information including; and activity information and medical information received from the user's smartphone;an avatar generation step of generating, by the VR service unit, an avatar of the user based on the user information in the virtual reality implemented by the virtual reality realization step; and providing, by the VR service unit, the plurality of contents to the avatar created in virtual reality, and updating the appearance of the avatar whenever performing the VR contents providing step; wherein the avatar creation step comprises: , deriving each appearance characteristic information from a plurality of the image information, averaging the plurality of appearance characteristic information to derive a character determination parameter in the form of a one-dimensional vector, and based on the character determination parameter, the basic avatar Basic appearance determining step of determining the appearance; an aging information determining step of inputting the biometric information into one or more artificial neural network models to determine aging information of the avatar, and adding a first graphic effect corresponding to the aging information to the basic appearance;a movement speed determining step of determining the movement speed of the avatar in such a way that the movement speed increases as the movement distance or number of steps increases, based on the movement distance or number of steps for a preset time derived from the user's smartphone; and determining disease information of the avatar based on medical information including at least one medical history input by the user, and adding a second graphic effect corresponding to the disease information to the basic appearance to which the first graphic effect is added. A first step, including a disease information determination step, wherein the VR content providing step provides content for which the difficulty is determined based on the aging information of the user and the user can perform cognitive ability and concentration strengthening training content providing step; a second content providing step of determining a difficulty level based on the activity information of the corresponding user and providing content capable of performing the user's physical activity reinforcement training;
a third content providing step of providing content in which a type of content is determined based on the disease information of the user and training for a body part or cognitive ability requiring rehabilitation training is performed; The result of performing the contents provided in the first contents providing step, the second contents providing step, and the third contents providing step, EEG information measured by the EEG measuring device during the execution period for the contents, and An aging information control step of calculating one or more scores based on the pulse information measured by the pulse meter, and adjusting the aging information according to the one or more scores; and an avatar appearance update step of updating the appearance of the user's avatar by adjusting the first graphic effect according to the adjusted aging information by the aging information adjustment step.</t>
  </si>
  <si>
    <t>KR101901261 B1 | KR101943585 B1 | KR102030350 B1 | KR102130750 B1 | KR102343582 B1 | KR20140036555 A | KR20210022944 A</t>
  </si>
  <si>
    <t>2022-09-19</t>
  </si>
  <si>
    <t>The present invention relates to a system and method for generating an avatar providing it to an external metaverse platform and updating the avatar. The user&amp;#39;s biometric information activity information and medical information are received through a VR device and based on this virtual reality It is possible to create an avatar inside provide the avatar to an external metaverse platform and receive interaction information about the avatar from the external metaverse platform to update the avatar. It relates to a system and method for providing to the metaverse platform and updating an avatar.</t>
  </si>
  <si>
    <t>System that creates an avatar, provides it to an external metaverse platforms, and updates the avatar, and method thereof</t>
  </si>
  <si>
    <t>avatar|virtual reality|users biometric information|aging information|content provided</t>
  </si>
  <si>
    <t>KR20220027134A</t>
  </si>
  <si>
    <t>A system for generating an avatar, providing it to an external metaverse platform, and updating the avatar, comprising: an HMD mounted to a user to provide images and sounds for virtual reality, and to detect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 and an avatar update unit that provides information about the avatar to an external metaverse platform, receives interaction information that a user has interacted with using the avatar on the external metaverse platform, and updates the avatar; including, wherein the VR service unit includes: a virtual reality implementation unit that is available only to the user and implements a virtual reality in which the plurality of virtual reality contents are provided; a VR communication unit that communicates with the VR device to exchange information; image information received from the VR device and inputted through the camera device; EEG information of the user measured by the EEG; and the user's pulse information measured by the pulse meter; including, biometric information of the user;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created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and includes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t>
  </si>
  <si>
    <t>A system for generating an avatar, providing it to an external metaverse platform, and updating the avatar, comprising: an HMD mounted to a user to provide images and sounds for virtual reality, and to detect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 and an avatar update unit that provides information about the avatar to an external metaverse platform, receives interaction information that a user has interacted with using the avatar on the external metaverse platform, and updates the avatar; including, wherein the VR service unit includes: a virtual reality implementation unit that is available only to the user and implements a virtual reality in which the plurality of virtual reality contents are provided; a VR communication unit that communicates with the VR device to exchange information; image information received from the VR device and inputted through the camera device; EEG information of the user measured by the EEG; and the user's pulse information measured by the pulse meter; including, biometric information of the user;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created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and includes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
delete
The method according to claim 1, wherein the avatar update unit provides an avatar information providing step of providing information about the avatar to an external metaverse platform;an interaction information receiving step of receiving interaction information corresponding to the avatar from the external metaverse platform; and an avatar update step of extracting avatar-related information from the interaction information and updating the avatar based on the avatar-related information.
The method according to claim 3, wherein the interaction information, when the game is provided on the external metaverse platform, including usage time, level-up information, the number of collected items, the number of worn items, the number of acquired skills, and the number of quest cleared, A system to update your avatar.
The method according to claim 3, wherein in the step of updating the avatar, when the game is provided on the external metaverse platform, the aging information is adjusted based on the level-up information, the number of collected items, and the number of quest cleared, and the aging information is added to the aging information. A system for updating the avatar based on the skin condition information, the hair condition information, the degree of curvature of the skeleton, the inclination of the eyes and the mouth shape of the avatar.
The method according to claim 3, wherein in the step of updating the avatar, when the game is provided on the external metaverse platform, the movement speed is adjusted based on the usage time, the number of acquired skills, and the number of worn items, and based on the movement speed A system that updates the avatar, by updating the avatar.
delete
delete
delete
The method according to claim 1, wherein the first content provided to the user by the first content providing unit is content for reinforcing the user's cognitive ability and concentration, including finding a wrong picture, arithmetic, and jigsaw puzzle, and the second content The second content provided to the user by the content providing unit is content capable of performing the user's physical activity strengthening training including walking, stretching and squatting, and the third content provided to the user by the third content providing unit 3 content, the user performs intensive training on the injured body part, or performs intensive training on cognitive ability enhancement including the user's memory, judgment, language ability and the ability to grasp space and time. A system for updating avatars, content for users to train in areas of weakness.
The method according to claim 1, wherein the aging information control unit, Concentration score calculating step of calculating an intensity score based on the user's EEG information measured while the user performs the first content;an activity score calculating step of calculating an activity score based on the user's pulse information and EMG information measured while the user performs the second content;an execution result score calculating step of calculating a first score, a second score, and a third score, respectively, based on the execution result of the first content, the execution result of the second content, and the execution result of the third content; and an aging information reduction step of reducing aging information based on the sum of the first score, the second score, the third score, the concentration score, and the activity score..
A method for updating an avatar implemented in a system for generating an avatar, providing it to an external metaverse platform, and updating the avatar, wherein the system is mounted to a user to provide images and sounds for virtual reality, and the user's voice HMD to detect;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 and an avatar update unit that provides information about the avatar to an external metaverse platform, receives interaction information that a user has interacted with using the avatar on the external metaverse platform, and updates the avatar; including, wherein the method comprises, by the VR service unit, a virtual reality implementation step of realizing, by the VR service unit, virtual reality available only to the user and provided with a plurality of virtual reality contents;a VR communication step of communicating with the VR device and exchanging information by the VR service unit;image information received from the VR device by the VR service unit and received through the camera device; EEG information of the user measured by the EEG; and the user's pulse information measured by the pulse meter; including, biometric information of the user; and a user information input step of receiving user information including; and activity information and medical information received from the user's smartphone;an avatar generation step of generating, by the VR service unit, an avatar of the user based on the user information in the virtual reality implemented by the virtual reality realization step; and providing, by the VR service unit, the plurality of contents to the avatar created in the virtual reality, and updating the appearance of the avatar whenever performing the VR contents providing step; wherein, in the avatar creation step, each of the appearance feature information is derived from a plurality of the image information, and a character determination parameter in the form of a one-dimensional vector is derived by averaging the derived plurality of appearance feature information, and the character a basic appearance determining step of determining a basic appearance of the avatar based on the determination parameter; an aging information determining step of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determination step;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step of determining the moving speed of the avatar in this way, wherein the aging information determining step includes the user's skin condition information, hair condition information, and a bent skeleton from the image information input through the camera device. a first aging information step of deriving first aging information including a degree;a second aging information step of deriving second aging information including the stability of the EEG and the concentration of the user from the EEG information of the user measured by the EEG;a third aging information step of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and includes a summation score obtained by summing each score and each score. Comprehensive judgment module step of deriving a; including, wherein the VR content providing step is to provide content for which the difficulty is determined based on the aging information of the user, and the user's cognitive ability and concentration reinforcement training can be performed, a first content providing step; a second content providing step of determining a difficulty level based on the activity information of the corresponding user and providing content capable of performing the user's physical activity reinforcement training; a third content providing step of determining the type of content based on the disease information of the user and providing content that can be trained on a body part or cognitive ability requiring rehabilitation; The result of performing the contents provided in the first contents providing step, the second contents providing step, and the third contents providing step, the EEG information measured by the EEG during the execution period for the contents, and An aging information control step of calculating one or more scores based on the pulse information measured by the pulse meter, and adjusting the aging information according to the one or more scores; and an avatar appearance update step of updating the appearance of the user's avatar by adjusting the first graphic effect according to the adjusted aging information by the aging information adjustment step.</t>
  </si>
  <si>
    <t>G06T01340000 | A61B00500000 | A61B00502400 | A61B00510700 | A61B00511000 | A61B00529100 | A63F01369000 | A63F01382500 | G02B02701000 | G06T01900000</t>
  </si>
  <si>
    <t>KR102445133B1</t>
  </si>
  <si>
    <t>KR102445133 B1</t>
  </si>
  <si>
    <t>I-000230849563</t>
  </si>
  <si>
    <t>https://patentscout.innography.com/share/hAlsHQWlhNZsXkuklEAXmg%3D%3D</t>
  </si>
  <si>
    <t>https://patentscout.innography.com/share/hAlsHQWlhNZsXkuklEAXmg%3D%3D/download</t>
  </si>
  <si>
    <t>https://v3.espacenet.com/publicationDetails/biblio?CC=KR&amp;NR=102445133B1&amp;KC=B1&amp;FT=D&amp;date=20220919&amp;DB=EPODOC&amp;locale=</t>
  </si>
  <si>
    <t>KR20102445133 B1</t>
  </si>
  <si>
    <t>1.  A system for generating an avatar, providing it to an external metaverse platform, and updating the avatar, comprising: an HMD mounted to a user to provide images and sounds for virtual reality, and to detect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 and an avatar update unit that provides information about the avatar to an external metaverse platform, receives interaction information that a user has interacted with using the avatar on the external metaverse platform, and updates the avatar; including, wherein the VR service unit includes: a virtual reality implementation unit that is available only to the user and implements a virtual reality in which the plurality of virtual reality contents are provided; a VR communication unit that communicates with the VR device to exchange information; image information received from the VR device and inputted through the camera device; EEG information of the user measured by the EEG; and the user's pulse information measured by the pulse meter; including, biometric information of the user;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created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 and includes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t>
  </si>
  <si>
    <t>12.  A method for updating an avatar implemented in a system for generating an avatar, providing it to an external metaverse platform, and updating the avatar, wherein the system is mounted to a user to provide images and sounds for virtual reality, and the user's voice HMD to detect;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 and an avatar update unit that provides information about the avatar to an external metaverse platform, receives interaction information that a user has interacted with using the avatar on the external metaverse platform, and updates the avatar; including, wherein the method comprises, by the VR service unit, a virtual reality implementation step of realizing, by the VR service unit, virtual reality available only to the user and provided with a plurality of virtual reality contents;a VR communication step of communicating with the VR device and exchanging information by the VR service unit;image information received from the VR device by the VR service unit and received through the camera device; EEG information of the user measured by the EEG; and the user's pulse information measured by the pulse meter; including, biometric information of the user; and a user information input step of receiving user information including; and activity information and medical information received from the user's smartphone;an avatar generation step of generating, by the VR service unit, an avatar of the user based on the user information in the virtual reality implemented by the virtual reality realization step; and providing, by the VR service unit, the plurality of contents to the avatar created in the virtual reality, and updating the appearance of the avatar whenever performing the VR contents providing step; wherein, in the avatar creation step, each of the appearance feature information is derived from a plurality of the image information, and a character determination parameter in the form of a one-dimensional vector is derived by averaging the derived plurality of appearance feature information, and the character a basic appearance determining step of determining a basic appearance of the avatar based on the determination parameter; an aging information determining step of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determination step;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step of determining the moving speed of the avatar in this way, wherein the aging information determining step includes the user's skin condition information, hair condition information, and a bent skeleton from the image information input through the camera device. a first aging information step of deriving first aging information including a degree;a second aging information step of deriving second aging information including the stability of the EEG and the concentration of the user from the EEG information of the user measured by the EEG;a third aging information step of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 and includes a summation score obtained by summing each score and each score. Comprehensive judgment module step of deriving a; including, wherein the VR content providing step is to provide content for which the difficulty is determined based on the aging information of the user, and the user's cognitive ability and concentration reinforcement training can be performed, a first content providing step; a second content providing step of determining a difficulty level based on the activity information of the corresponding user and providing content capable of performing the user's physical activity reinforcement training; a third content providing step of determining the type of content based on the disease information of the user and providing content that can be trained on a body part or cognitive ability requiring rehabilitation; The result of performing the contents provided in the first contents providing step, the second contents providing step, and the third contents providing step, the EEG information measured by the EEG during the execution period for the contents, and An aging information control step of calculating one or more scores based on the pulse information measured by the pulse meter, and adjusting the aging information according to the one or more scores; and an avatar appearance update step of updating the appearance of the user's avatar by adjusting the first graphic effect according to the adjusted aging information by the aging information adjustment step.</t>
  </si>
  <si>
    <t>KR101608277 B1 | KR102388233 B1</t>
  </si>
  <si>
    <t>The present invention relates to a method and apparatus for providing an NFT-based service applied to a metaverse space and more particularly to a method and apparatus for providing a service related to content such as a sound source based on NFT in a metaverse space.</t>
  </si>
  <si>
    <t>Service providing method and apparatus for selecting sound source for performance provided in the metaverse space based on nft-related information on sound source registered in platform of metaverse</t>
  </si>
  <si>
    <t>Kim, Tae Won</t>
  </si>
  <si>
    <t>KR20220064766A</t>
  </si>
  <si>
    <t>Selecting a plurality of sound sources for a performance that can be provided in the metaverse space based on information related to NFT (Non-Fungible Token) for a plurality of sound sources registered on a platform providing a metaverse space A service providing method performed in a service providing apparatus, the method comprising: receiving a request for selection of a sound source for a performance from a terminal of one of a plurality of users accessing the metaverse space;requesting and receiving information on the cost for the performance and information on the number of sound sources for the performance from the user's terminal;The information on the transaction amount of the sound source is extracted from the information related to the NFT for the plurality of sound sources registered in the platform, and the information on the transaction amount of the plurality of sound sources is received from the user's terminal based on the information. selecting a plurality of sound sources that match information on cost and information on the number of sound sources for a performance;transmitting information on a plurality of selected sound sources to the user's terminal, and requesting confirmation of whether a performance is being performed based on the plurality of sound sources selected from the user's terminal;requesting to the user's terminal for payment of an amount for the performance of the selected plurality of sound sources when it is confirmed whether a performance is being performed based on the plurality of sound sources selected from the user's terminal; and when payment for the performance for the plurality of selected sound sources is completed, content related to the performance is generated based on the plurality of sound sources selected in the metaverse space, and the content related to the generated performance is transferred to the metaverse space. Including the step of providing, wherein the platform issues a blockchain-based virtual currency, and uses the virtual currency to request the right to the sound source in the metaverse space for the user's terminal holding the virtual currency. In the process of issuing the blockchain-based virtual currency, the payment of the amount for the performance of the selected plurality of sound sources is made with the virtual currency, and the space to which the virtual currency is applied. Set to include the identifier of the application space for specifying, and include one of the first identifier indicating the space of the platform and the second identifier indicating the metaverse space in the structure of the token of the virtual currency is created, When the terminal of the user holding the virtual currency requests to convert the identifier included in the virtual currency to the first identifier or the second identifier, NFT applied to the metaverse space supporting conversion to the first identifier or the second identifier How to provide services based on</t>
  </si>
  <si>
    <t>Selecting a plurality of sound sources for a performance that can be provided in the metaverse space based on information related to NFT (Non-Fungible Token) for a plurality of sound sources registered on a platform providing a metaverse space A service providing method performed in a service providing apparatus, the method comprising: receiving a request for selection of a sound source for a performance from a terminal of one of a plurality of users accessing the metaverse space;requesting and receiving information on the cost for the performance and information on the number of sound sources for the performance from the user's terminal;The information on the transaction amount of the sound source is extracted from the information related to the NFT for the plurality of sound sources registered in the platform, and the information on the transaction amount of the plurality of sound sources is received from the user's terminal based on the information. selecting a plurality of sound sources that match information on cost and information on the number of sound sources for a performance;transmitting information on a plurality of selected sound sources to the user's terminal, and requesting confirmation of whether a performance is being performed based on the plurality of sound sources selected from the user's terminal;requesting to the user's terminal for payment of an amount for the performance of the selected plurality of sound sources when it is confirmed whether a performance is being performed based on the plurality of sound sources selected from the user's terminal; and when payment for the performance for the plurality of selected sound sources is completed, content related to the performance is generated based on the plurality of sound sources selected in the metaverse space, and the content related to the generated performance is transferred to the metaverse space. Including the step of providing, wherein the platform issues a blockchain-based virtual currency, and uses the virtual currency to request the right to the sound source in the metaverse space for the user's terminal holding the virtual currency. In the process of issuing the blockchain-based virtual currency, the payment of the amount for the performance of the selected plurality of sound sources is made with the virtual currency, and the space to which the virtual currency is applied. Set to include the identifier of the application space for specifying, and include one of the first identifier indicating the space of the platform and the second identifier indicating the metaverse space in the structure of the token of the virtual currency is created, When the terminal of the user holding the virtual currency requests to convert the identifier included in the virtual currency to the first identifier or the second identifier, NFT applied to the metaverse space supporting conversion to the first identifier or the second identifier How to provide services based on
The method according to claim 1, further comprising: generating an NFT ID used to manage the sound source in the platform by matching the NFT for the sound source registered in the platform and an identifier for identifying the sound source; Encrypting the NFT ID based on a preset encryption method to protect the sound source in the platform and storing it in a database of the platform to match the sound source corresponding to the NFT ID; and providing a service by processing an event related to the sound source based on the NFT ID for an event related to the sound source generated by a plurality of users connected to the metaverse space provided by the platform. An NFT-based service provision method applied to the bus space.
The method according to claim 2, wherein the event related to the sound source includes a first event requesting registration of a new sound source on the platform, a second event requesting a copyright purchase of a sound source registered on the platform, and the platform in the metaverse space. Including a third event requesting streaming of a sound source registered in and a fourth event requesting download of a sound source registered in the platform, and providing the service includes generating an event related to the sound source To request verification of the NFT ID for the sound source corresponding to the event related to the sound source from the user's terminal, and to transmit a response to the sound source-related event to the user's terminal based on the result of the verification received from the user's terminal An NFT-based service provision method applied to the metaverse space.</t>
  </si>
  <si>
    <t>G06Q05010000 | G06F01668000 | G06Q02006000 | G06Q02012000 | G06Q02014000 | G06Q02036000 | G06Q03006000 | G06Q05018000 | H04L00900000</t>
  </si>
  <si>
    <t>KR102451241B1</t>
  </si>
  <si>
    <t>KR102451241 B1</t>
  </si>
  <si>
    <t>I-000231193812</t>
  </si>
  <si>
    <t>https://patentscout.innography.com/share/_-DHqL_czWjW5GspStnnMw%3D%3D</t>
  </si>
  <si>
    <t>2022-09-27-DECISION TO GRANT OR REGISTRATION OF PATENT RIGHT|2022-09-28-DIVISIONAL APPLICATION OF PATENT|2022-09-30-WRITTEN DECISION TO GRANT</t>
  </si>
  <si>
    <t>https://patentscout.innography.com/share/_-DHqL_czWjW5GspStnnMw%3D%3D/download</t>
  </si>
  <si>
    <t>https://v3.espacenet.com/publicationDetails/biblio?CC=KR&amp;NR=102451241B1&amp;KC=B1&amp;FT=D&amp;date=20221006&amp;DB=EPODOC&amp;locale=</t>
  </si>
  <si>
    <t>KR20102451241 B1</t>
  </si>
  <si>
    <t>1.  Selecting a plurality of sound sources for a performance that can be provided in the metaverse space based on information related to NFT (Non-Fungible Token) for a plurality of sound sources registered on a platform providing a metaverse space A service providing method performed in a service providing apparatus, the method comprising: receiving a request for selection of a sound source for a performance from a terminal of one of a plurality of users accessing the metaverse space;requesting and receiving information on the cost for the performance and information on the number of sound sources for the performance from the user's terminal;The information on the transaction amount of the sound source is extracted from the information related to the NFT for the plurality of sound sources registered in the platform, and the information on the transaction amount of the plurality of sound sources is received from the user's terminal based on the information. selecting a plurality of sound sources that match information on cost and information on the number of sound sources for a performance;transmitting information on a plurality of selected sound sources to the user's terminal, and requesting confirmation of whether a performance is being performed based on the plurality of sound sources selected from the user's terminal;requesting to the user's terminal for payment of an amount for the performance of the selected plurality of sound sources when it is confirmed whether a performance is being performed based on the plurality of sound sources selected from the user's terminal; and when payment for the performance for the plurality of selected sound sources is completed, content related to the performance is generated based on the plurality of sound sources selected in the metaverse space, and the content related to the generated performance is transferred to the metaverse space. Including the step of providing, wherein the platform issues a blockchain-based virtual currency, and uses the virtual currency to request the right to the sound source in the metaverse space for the user's terminal holding the virtual currency. In the process of issuing the blockchain-based virtual currency, the payment of the amount for the performance of the selected plurality of sound sources is made with the virtual currency, and the space to which the virtual currency is applied. Set to include the identifier of the application space for specifying, and include one of the first identifier indicating the space of the platform and the second identifier indicating the metaverse space in the structure of the token of the virtual currency is created, When the terminal of the user holding the virtual currency requests to convert the identifier included in the virtual currency to the first identifier or the second identifier, NFT applied to the metaverse space supporting conversion to the first identifier or the second identifier How to provide services based on</t>
  </si>
  <si>
    <t>2022-10-19</t>
  </si>
  <si>
    <t>2022-07-11</t>
  </si>
  <si>
    <t>According to various embodiments the job search platform providing server that provides a job search matching service between the job seeker and the company&amp;#39;s hiring manager based on the job seeker&amp;#39;s interest in the company determined through the metaverse service is the job seeker&amp;#39;s terminal a member management unit that registers the job seeker as a member based on the job search information obtained from the member and registers the job seeker as a member based on the job offer information obtained from the job search manager terminal of the job search officer; a job search matching unit that matches the job seeker with the job seeker based on the job information and the job search information; Create a metaverse space based on the floor plan and floor height information of the corporate building obtained from the recruiter terminal create a virtual object corresponding to an object in real space and use the created metaverse space and the virtual object to the job seeker a metaverse service providing unit outputting each of the first device and the second device of the hiring manager; an object identification unit for identifying the object to determine a type of the object; and transmitting the question image obtained from the second device to the first device obtaining an answer voice signal of the job seeker based on an audio system mounted on the first device and applying the obtained answer voice signal to the second device 2 It may include an interview process unit that outputs through a speaker mounted on the device.</t>
  </si>
  <si>
    <t>Method and apparatus for providing a job search matching service between the job seekeer and the company's hiring manager based on the job seeker's interest in the company determined through the metaverse service</t>
  </si>
  <si>
    <t>job seeker|job search|voice signal|individual space</t>
  </si>
  <si>
    <t>KR20220084818A</t>
  </si>
  <si>
    <t>In the job search platform providing server that provides a job search matching service between the job seeker and the company's hiring manager based on the job seeker's interest in the company determined through the metaverse service, the job search obtained from the job seeker terminal of the job seeker a member management unit that registers the job seeker as a member based on the information, and registers the job seeker as a member based on the job information obtained from a terminal in charge of the job offer manager;a job search matching unit that matches the job seeker with the job seeker based on the job information and the job search information;A metaverse space is generated based on the floor plan and floor height information of a corporate building obtained from the recruiter terminal, and a virtual object corresponding to an object of a real space corresponding to the inside of the company is generated, and the generated metaverse space and a metaverse service providing unit that outputs the virtual object to a first device that is a metaverse device of the job seeker and a second device that is a metaverse device of the job seeker.an object identification unit that identifies the object in the real space corresponding to the inside of the enterprise, determines the type of the object, and provides information on the determined type of the object to the metaverse service provider; Transmitting the question image obtained from the second device to the first device, obtaining the job seeker's answer voice signal based on the audio system mounted on the first device, and applying the obtained answer voice signal to the second device an interview process unit that outputs through a speaker mounted on the device; and a job search interest determination unit configured to determine the job search interest level of the job seeker for the company based on a movement corresponding to the job seeker's avatar in the metaverse space, wherein the job search interest level determination unit is configured in the generated metaverse space tracks the path traveled by the job seeker's avatar, and determines the job search interest through the following equation,In the above formula, J is the interest in the job search, n is the number of individual spaces to which the job seeker's avatar has moved, MI-is the distance (m) that the job seeker's avatar moved in each of the individual spaces, Aiis the area (pyeong) of each of the individual spaces, viis the weight for the distance moved, Piis the time (minutes) that the job seeker stayed in each of the individual spaces to which the job seeker's avatar moved, wiis the weight for the dwell time, xiis the weight for each of the individual places, and vI-And wiis 1, and the job search matching unit includes a recommendation identifier in the job seeker information of the job seeker when the determined job search interest level is greater than or equal to a preset reference level of interest, and lists the job seeker in the company's recommended job seeker list, provides the recommended job seekers list in which the job seekers are listed to the job seeker terminal, and the metaverse service providing unit, based on the information on the use of each space within the company obtained from the job search manager terminal, the metaverse space determines the use of space for each individual space of tracking, and when the job seeker enters a specific individual space, information about the department environment of the department corresponding to the specific individual space is provided to the job seeker terminal, and the information about the department environment is the average attendance of the department hour, Outputting a work delivery voice signal including information on average leave time and average working time, and including the work contents of the department through the speaker of the first device, and corresponding to the work delivery voice signal from the first device Obtaining a work acceptance signal, and when obtaining the work acceptance signal, a factory brokerage platform providing server that provides a work list including the work contents of the department to the job seeker terminal.</t>
  </si>
  <si>
    <t>Choi, Sang Hwan</t>
  </si>
  <si>
    <t>I-000231723441</t>
  </si>
  <si>
    <t>20 years from 2022-02-08 (file date of KR20220016053A)</t>
  </si>
  <si>
    <t>https://patentscout.innography.com/share/iy6F2wT4OG_xswPW0vlB3Q%3D%3D</t>
  </si>
  <si>
    <t>2022-10-13-WRITTEN DECISION TO GRANT</t>
  </si>
  <si>
    <t>https://patentscout.innography.com/share/iy6F2wT4OG_xswPW0vlB3Q%3D%3D/download</t>
  </si>
  <si>
    <t>https://v3.espacenet.com/publicationDetails/biblio?CC=KR&amp;NR=102456160B1&amp;KC=B1&amp;FT=D&amp;date=20221019&amp;DB=EPODOC&amp;locale=</t>
  </si>
  <si>
    <t>KR20102456160 B1</t>
  </si>
  <si>
    <t>1.  In the job search platform providing server that provides a job search matching service between the job seeker and the company's hiring manager based on the job seeker's interest in the company determined through the metaverse service, the job search obtained from the job seeker terminal of the job seeker a member management unit that registers the job seeker as a member based on the information, and registers the job seeker as a member based on the job information obtained from a terminal in charge of the job offer manager;a job search matching unit that matches the job seeker with the job seeker based on the job information and the job search information;A metaverse space is generated based on the floor plan and floor height information of a corporate building obtained from the recruiter terminal, and a virtual object corresponding to an object of a real space corresponding to the inside of the company is generated, and the generated metaverse space and a metaverse service providing unit that outputs the virtual object to a first device that is a metaverse device of the job seeker and a second device that is a metaverse device of the job seeker.an object identification unit that identifies the object in the real space corresponding to the inside of the enterprise, determines the type of the object, and provides information on the determined type of the object to the metaverse service provider; Transmitting the question image obtained from the second device to the first device, obtaining the job seeker's answer voice signal based on the audio system mounted on the first device, and applying the obtained answer voice signal to the second device an interview process unit that outputs through a speaker mounted on the device; and a job search interest determination unit configured to determine the job search interest level of the job seeker for the company based on a movement corresponding to the job seeker's avatar in the metaverse space, wherein the job search interest level determination unit is configured in the generated metaverse space tracks the path traveled by the job seeker's avatar, and determines the job search interest through the following equation,In the above formula, J is the interest in the job search, n is the number of individual spaces to which the job seeker's avatar has moved, MI-is the distance (m) that the job seeker's avatar moved in each of the individual spaces, Aiis the area (pyeong) of each of the individual spaces, viis the weight for the distance moved, Piis the time (minutes) that the job seeker stayed in each of the individual spaces to which the job seeker's avatar moved, wiis the weight for the dwell time, xiis the weight for each of the individual places, and vI-And wiis 1 , and the job search matching unit includes a recommendation identifier in the job seeker information of the job seeker when the determined job search interest level is greater than or equal to a preset reference level of interest, and lists the job seeker in the company's recommended job seeker list, provides the recommended job seekers list in which the job seekers are listed to the job seeker terminal, and the metaverse service providing unit, based on the information on the use of each space within the company obtained from the job search manager terminal, the metaverse space determines the use of space for each individual space of tracking, and when the job seeker enters a specific individual space, information about the department environment of the department corresponding to the specific individual space is provided to the job seeker terminal, and the information about the department environment is the average attendance of the department hour, Outputting a work delivery voice signal including information on average leave time and average working time, and including the work contents of the department through the speaker of the first device, and corresponding to the work delivery voice signal from the first device Obtaining a work acceptance signal, and when obtaining the work acceptance signal, a factory brokerage platform providing server that provides a work list including the work contents of the department to the job seeker terminal.</t>
  </si>
  <si>
    <t>JP2008107904 A | KR20040096799 A | KR20060032409 A | KR20170068741 A | KR20200071990 A | KR20210112853 A</t>
  </si>
  <si>
    <t>KR102439122 B1 | KR102445135 B1 | KR102445133 B1 | KR102445134 B1 | KR102461267 B1</t>
  </si>
  <si>
    <t>2021-12-29</t>
  </si>
  <si>
    <t>The artificial intelligence-based metaverse content production system of the present invention receives a work instruction from a producer generates free camera work information according to the work instruction receives optimal library data related to the free camera work information and the optimal A metaverse content production apparatus performing rendering by applying library data and receiving the free camera work information generated by the metaverse content production apparatus selecting the optimal library data using the free camera work information and a big data library for transmitting the selected optimal library data to the metaverse content production apparatus wherein the free camera work information includes character motion information including a heart rate of a specific character and the metaverse content production apparatus includes calculating the blood flow of the character based on the heart rate and rendering the character using shading data derived using the blood flow.</t>
  </si>
  <si>
    <t>Artificial intelligence-based metaverse contents making system for using biometric information</t>
  </si>
  <si>
    <t>making system|content making|biometric information|work information|content production|camera work|library data|heart rate|change amount</t>
  </si>
  <si>
    <t>KR20210115957A</t>
  </si>
  <si>
    <t>Receive a work instruction from a producer, generate free camera work information according to the work instruction, receive optimal library data related to the free camera work information, apply the optimal library data to perform a rendering operation, and an animation image a metaverse content production device that generates and receiving the free camera work information generated by the metaverse content production apparatus, selecting the optimal library data using the free camera work information, and transmitting the selected optimal library data to the metaverse content production apparatus wherein the pre-camera work information includes character motion information including a heart rate of a character, and the metaverse content production device includes a modeling module for modeling clothing;and an animation module for generating the modeled movement of the character and the clothing, wherein the animation module extracts a heart rate of the character, and based on the heart rate, a change in lung volume, a change in posture, and a change in shape of the character and deriving first data including the amount of sweat per body part of the character, wherein the amount of change in lung volume means a time-series amount of change with respect to the size of the character's lungs, and the amount of change in posture expresses the movement of the character It means the amount of time-series change of a plurality of points, and the shape change means the shape change amount of the body part of the character including the chest shape change amount and the abdomen shape change amount of the character, and when the heart rate is higher than a predetermined reference value, The chest shape change amount is set to be greater than the abdominal shape change amount, and when the heart rate is lower than a predetermined reference value, the chest shape change amount is set smaller than the abdominal shape change amount, and the first data isSecond data corrected based on the optimal library data including the character motion information, background information, and character setting information is derived, and based on the second data, time-series movement of the clothing worn by the character generating a pre-clothing motion sequence representing , wherein the clothing motion sequence includes a clothing motion change amount for the character, expresses a motion change of the clothing based on the clothing motion sequence, and further derives blood flow of the character based on the heart rate, , generating character shading data based on the character's sweat output and blood flow of the character, and using the character shading data to express the amount of skin color change of the character.</t>
  </si>
  <si>
    <t>Receive a work instruction from a producer, generate free camera work information according to the work instruction, receive optimal library data related to the free camera work information, apply the optimal library data to perform a rendering operation, and an animation image a metaverse content production device that generates and receiving the free camera work information generated by the metaverse content production apparatus, selecting the optimal library data using the free camera work information, and transmitting the selected optimal library data to the metaverse content production apparatus wherein the pre-camera work information includes character motion information including a heart rate of a character, and the metaverse content production device includes a modeling module for modeling clothing;
and an animation module for generating the modeled movement of the character and the clothing, wherein the animation module extracts a heart rate of the character, and based on the heart rate, a change in lung volume, a change in posture, and a change in shape of the character and deriving first data including the amount of sweat per body part of the character, wherein the amount of change in lung volume means a time-series amount of change with respect to the size of the character's lungs, and the amount of change in posture expresses the movement of the character It means the amount of time-series change of a plurality of points, and the shape change means the shape change amount of the body part of the character including the chest shape change amount and the abdomen shape change amount of the character, and when the heart rate is higher than a predetermined reference value, The chest shape change amount is set to be greater than the abdominal shape change amount, and when the heart rate is lower than a predetermined reference value, the chest shape change amount is set smaller than the abdominal shape change amount, and the first data is
Second data corrected based on the optimal library data including the character motion information, background information, and character setting information is derived, and based on the second data, time-series movement of the clothing worn by the character generating a pre-clothing motion sequence representing , wherein the clothing motion sequence includes a clothing motion change amount for the character, expresses a motion change of the clothing based on the clothing motion sequence, and further derives blood flow of the character based on the heart rate, , generating character shading data based on the character's sweat output and blood flow of the character, and using the character shading data to express the amount of skin color change of the character.
The apparatus of claim 1 , wherein the metaverse content production apparatus calculates light source information including an amount of light and a light source location based on the background information included in the optimal library data, and calculates the light source information and the optimal library data. Artificial comprising a rendering module that generates the character shading data by further using the character motion information, the character setting information, and the background information included in and performs rendering of the character based on the generated character shading data An intelligence-based metaverse content creation system.
The method of claim 2, wherein the character motion information includes at least one of a posture, fatigue, and emotion of the character, and a heart rate of the character, and the background information includes temperature, humidity, and temperature of a background used for layout work; and at least one of time zones, wherein the character setting information includes at least one of gender, age, body type, size, skin color, and clothing of the character.
The method according to claim 2, wherein the rendering module comprises: an artificial intelligence module that receives the heart rate and outputs the blood flow as an output thereof; An artificial intelligence-based metaverse content production system comprising a shader module for outputting the character shading data by correcting based on the data.
The optimal library selection according to claim 1, wherein the big data library compares a library database storing at least one camera work library data with the camera work library data and the free camera work information to select the optimal library data. Artificial intelligence-based metaverse content creation system including modules.
According to claim 5, further comprising a parameter conversion module for generating a motion parameter related to the type of the character motion information included in the free camera walk information, wherein the optimal library selection module, the camera walk through the motion parameter An artificial intelligence-based metaverse content production system for selecting filtered data by filtering some of the library data, and selecting data most similar to the free camera work information among the filtered data as the optimal library data.
delete
delete
delete
delete</t>
  </si>
  <si>
    <t>G06Q05010000 | G06N00302000 | G06T01340000 | G06T01580000 | G06T01900000 | H04N00593000</t>
  </si>
  <si>
    <t>KR102343582B1</t>
  </si>
  <si>
    <t>KR102343582 B1</t>
  </si>
  <si>
    <t>I-000219858580</t>
  </si>
  <si>
    <t>https://patentscout.innography.com/share/mrOCJH5lIVpMxrx7BPcbFQ%3D%3D</t>
  </si>
  <si>
    <t>2021-11-08-NOTIFICATION OF REASON FOR REFUSAL|2021-12-21-DECISION TO GRANT OR REGISTRATION OF PATENT RIGHT|2021-12-22-WRITTEN DECISION TO GRANT</t>
  </si>
  <si>
    <t>https://patentscout.innography.com/share/mrOCJH5lIVpMxrx7BPcbFQ%3D%3D/download</t>
  </si>
  <si>
    <t>https://v3.espacenet.com/publicationDetails/biblio?CC=KR&amp;NR=102343582B1&amp;KC=B1&amp;FT=D&amp;date=20211229&amp;DB=EPODOC&amp;locale=</t>
  </si>
  <si>
    <t>KR20102343582 B1</t>
  </si>
  <si>
    <t>1.  Receive a work instruction from a producer, generate free camera work information according to the work instruction, receive optimal library data related to the free camera work information, apply the optimal library data to perform a rendering operation, and an animation image a metaverse content production device that generates and receiving the free camera work information generated by the metaverse content production apparatus, selecting the optimal library data using the free camera work information, and transmitting the selected optimal library data to the metaverse content production apparatus wherein the pre-camera work information includes character motion information including a heart rate of a character, and the metaverse content production device includes a modeling module for modeling clothing;
and an animation module for generating the modeled movement of the character and the clothing, wherein the animation module extracts a heart rate of the character, and based on the heart rate, a change in lung volume, a change in posture, and a change in shape of the character and deriving first data including the amount of sweat per body part of the character, wherein the amount of change in lung volume means a time-series amount of change with respect to the size of the character's lungs, and the amount of change in posture expresses the movement of the character It means the amount of time-series change of a plurality of points, and the shape change means the shape change amount of the body part of the character including the chest shape change amount and the abdomen shape change amount of the character, and when the heart rate is higher than a predetermined reference value, The chest shape change amount is set to be greater than the abdominal shape change amount, and when the heart rate is lower than a predetermined reference value, the chest shape change amount is set smaller than the abdominal shape change amount, and the first data is
Second data corrected based on the optimal library data including the character motion information, background information, and character setting information is derived, and based on the second data, time-series movement of the clothing worn by the character generating a pre-clothing motion sequence representing , wherein the clothing motion sequence includes a clothing motion change amount for the character, expresses a motion change of the clothing based on the clothing motion sequence, and further derives blood flow of the character based on the heart rate, , generating character shading data based on the character's sweat output and blood flow of the character, and using the character shading data to express the amount of skin color change of the character.</t>
  </si>
  <si>
    <t>KR20140036555 A | KR20190078294 A</t>
  </si>
  <si>
    <t>2022-03-02</t>
  </si>
  <si>
    <t>2021-09-01</t>
  </si>
  <si>
    <t>2041-09-01</t>
  </si>
  <si>
    <t>Disclosed are a method and an apparatus for creating a virtual lecture space for learning in a metaverse. A method for generating a virtual lecture space for learning in a metaverse according to an aspect of the present invention comprises the steps of: generating by an apparatus a virtual first lecture space based on profile information of learners who have applied for a first lecture; and generating by the device virtual avatars of instructors and learners entering the virtual first lecture space respectively and outputting them to the virtual first lecture space.</t>
  </si>
  <si>
    <t>Method for generating lecturer room of metaverse space and apparatus thereof</t>
  </si>
  <si>
    <t>Ubob Inc.</t>
  </si>
  <si>
    <t>Ubob Ltd</t>
  </si>
  <si>
    <t>KR20210116417A</t>
  </si>
  <si>
    <t>generating, by the device, a virtual first lecture space based on profile information of learners who have applied for taking the first lecture;and generating, by the device, virtual avatars of instructors and learners entering the virtual first lecture space, respectively, and outputting them to the virtual first lecture space, generating the virtual first lecture space In the step, the device counts the number of learners for each industry for learners who have applied for the first lecture, and if there is an industry with a first ratio or more among the counted number of learners for each industry, the corresponding industry from the database A lecture space template corresponding to an industry is obtained and created as the virtual first lecture space, and among the counted number of learners by industry, if an industry less than the first ratio and greater than or equal to a preset second ratio exists, the corresponding industry from the database A method for generating a virtual lecture space for learning in metaverse, characterized in that the first virtual lecture space is created by acquiring at least one item from a lecture space template corresponding to an industry and synthesizing the obtained items. .</t>
  </si>
  <si>
    <t>generating, by the device, a virtual first lecture space based on profile information of learners who have applied for taking the first lecture;
and generating, by the device, virtual avatars of instructors and learners entering the virtual first lecture space, respectively, and outputting them to the virtual first lecture space, generating the virtual first lecture space In the step, the device counts the number of learners for each industry for learners who have applied for the first lecture, and if there is an industry with a first ratio or more among the counted number of learners for each industry, the corresponding industry from the database A lecture space template corresponding to an industry is obtained and created as the virtual first lecture space, and among the counted number of learners by industry, if an industry less than the first ratio and greater than or equal to a preset second ratio exists, the corresponding industry from the database A method for generating a virtual lecture space for learning in metaverse, characterized in that the first virtual lecture space is created by acquiring at least one item from a lecture space template corresponding to an industry and synthesizing the obtained items. .
The method of claim 1 , further comprising, before the generating of the virtual first lecture space, the device generating and storing a lecture space template for at least one of industry and job types in the database. A method of creating a virtual lecture space for learning in the metaverse.
The method of claim 2, wherein in the generating of the first virtual lecture space, the device analyzes profile information of learners who have applied for the first lecture to identify at least one of industries and jobs of each learner. to do; and extracting, by the device, at least one lecture space template corresponding to the industries and jobs of the learners from the database, and generating the virtual first lecture space using the extracted lecture space template. A method of creating a virtual lecture space for learning in the metaverse, characterized in that
delete
The method of claim 1, wherein in the step of creating the first virtual lecture space, the device counts the number of learners for each job if there is no industry with the second ratio or more among the counted number of learners by industry, and , when there is a job with the first ratio or higher among the counted number of learners by job, a lecture space template corresponding to the job is obtained from the database and created as the virtual first lecture space, and the number of learners per job If there is a job that is less than the first ratio and greater than or equal to the second ratio among them, at least one item is acquired from the lecture space template corresponding to the job from the database, and the acquired items are synthesized to form the virtual first lecture A method of creating a virtual lecture space for learning in the metaverse, characterized in that the space is created.
The method according to claim 5, wherein when receiving a request for personalized lecture space from a learner terminal, the device is based on at least one of the learner's industry and job, the learner's lecture space template use history, and other learners' lecture space template use histories generating a lecture space template recommendation list, providing the lecture space template recommendation list to the learner terminal, and generating a lecture space template selected by the learner from the lecture space template recommendation list as the learner's personalized lecture space The method of generating a virtual lecture space for learning in the metaverse, characterized in that it further comprises the step of outputting it through a terminal.
a virtual lecture space generator for generating a virtual first lecture space based on profile information of learners who have applied for taking the first lecture; a virtual avatar generator for generating virtual avatars of instructors and learners entering the virtual first lecture space, respectively;
and a metaverse management unit for outputting virtual avatars of the instructors and learners to the first virtual lecture space, wherein the virtual lecture space generating unit includes: is counted, and if there is an industry with a first ratio or higher among the counted number of learners for each industry, a lecture space template corresponding to the industry is obtained from the database and generated as the virtual first lecture space, and the counted If there is an industry that is less than the first ratio and greater than or equal to the second preset ratio among the number of learners by industry, at least one item is obtained from the lecture space template corresponding to the industry from the database, and the obtained items are synthesized to A virtual lecture space generating apparatus for learning in the metaverse, characterized in that the first virtual lecture space is created.
The virtual lecture space creation for learning in the metaverse according to claim 7, further comprising a lecture space template generator for generating lecture space templates for at least one of industry and job and storing the lecture space templates in the database. Device.
The method of claim 7, wherein the virtual lecture space generation unit analyzes profile information of learners who have applied for the first lecture to identify at least one of industries and jobs of each learner, and respond to industries and jobs of the learners. and extracting at least one lecture space template from a database, and generating the virtual first lecture space using the extracted lecture space template.
delete
The method of claim 7, wherein the virtual lecture space generation unit, if there is no industry equal to or greater than the second ratio among the counted number of learners by industry, counts the number of learners for each job, and counts the number of learners for each job counted. When a job with a first ratio or higher exists, a lecture space template corresponding to the corresponding job is obtained from the database and created as the virtual first lecture space, and a second ratio that is less than the first ratio among the number of learners for each job Metaverse, characterized in that when more than one job exists, at least one item is obtained from a lecture space template corresponding to the corresponding job from the database, and the virtual first lecture space is created by synthesizing the obtained items. Virtual lecture space creation device for learning in
The lecture space template according to claim 7, wherein upon receiving a request for a personalized lecture space from the learner terminal, the lecture space template is based on at least one of the learner's industry and job, the learner's lecture space template use history, and other learners' lecture space template use histories A recommendation list is generated, the lecture space template recommendation list is provided to the learner terminal, and a lecture space template selected by the learner from the lecture space template recommendation list is created as the learner's personalized lecture space through the learner terminal A virtual lecture space creation device for learning in the metaverse, characterized in that it further comprises a personalized lecture space providing unit to be output.</t>
  </si>
  <si>
    <t>Joo, Hyun Lee</t>
  </si>
  <si>
    <t>G06Q05020000 | G06F01690100 | G06F01695350 | G06Q05010000 | G06T01340000 | G06T01900000 | G06T01920000</t>
  </si>
  <si>
    <t>KR102368616B1</t>
  </si>
  <si>
    <t>KR102368616 B1</t>
  </si>
  <si>
    <t>I-000223551309</t>
  </si>
  <si>
    <t>20 years from 2021-09-01 (file date)</t>
  </si>
  <si>
    <t>https://patentscout.innography.com/share/-j8GPdUt-orqNcwq5ddxZw%3D%3D</t>
  </si>
  <si>
    <t>2022-02-22-DECISION TO GRANT OR REGISTRATION OF PATENT RIGHT|2022-02-23-WRITTEN DECISION TO GRANT</t>
  </si>
  <si>
    <t>https://patentscout.innography.com/share/-j8GPdUt-orqNcwq5ddxZw%3D%3D/download</t>
  </si>
  <si>
    <t>https://v3.espacenet.com/publicationDetails/biblio?CC=KR&amp;NR=102368616B1&amp;KC=B1&amp;FT=D&amp;date=20220302&amp;DB=EPODOC&amp;locale=</t>
  </si>
  <si>
    <t>KR20102368616 B1</t>
  </si>
  <si>
    <t>1.  generating, by the device, a virtual first lecture space based on profile information of learners who have applied for taking the first lecture;
and generating, by the device, virtual avatars of instructors and learners entering the virtual first lecture space, respectively, and outputting them to the virtual first lecture space, generating the virtual first lecture space In the step, the device counts the number of learners for each industry for learners who have applied for the first lecture, and if there is an industry with a first ratio or more among the counted number of learners for each industry, the corresponding industry from the database A lecture space template corresponding to an industry is obtained and created as the virtual first lecture space, and among the counted number of learners by industry, if an industry less than the first ratio and greater than or equal to a preset second ratio exists, the corresponding industry from the database A method for generating a virtual lecture space for learning in metaverse, characterized in that the first virtual lecture space is created by acquiring at least one item from a lecture space template corresponding to an industry and synthesizing the obtained items. .</t>
  </si>
  <si>
    <t>7.  a virtual lecture space generator for generating a virtual first lecture space based on profile information of learners who have applied for taking the first lecture; a virtual avatar generator for generating virtual avatars of instructors and learners entering the virtual first lecture space, respectively;
and a metaverse management unit for outputting virtual avatars of the instructors and learners to the first virtual lecture space, wherein the virtual lecture space generating unit includes: is counted, and if there is an industry with a first ratio or higher among the counted number of learners for each industry, a lecture space template corresponding to the industry is obtained from the database and generated as the virtual first lecture space, and the counted If there is an industry that is less than the first ratio and greater than or equal to the second preset ratio among the number of learners by industry, at least one item is obtained from the lecture space template corresponding to the industry from the database, and the obtained items are synthesized to A virtual lecture space generating apparatus for learning in the metaverse, characterized in that the first virtual lecture space is created.</t>
  </si>
  <si>
    <t>KR101923723 B1 | KR20200038534 A | KR20200076178 A</t>
  </si>
  <si>
    <t>An image processing system and method in a metaverse environment are disclosed. An image processing system in a metaverse environment according to an embodiment of the present invention generates a space map using a point cloud and a plurality of viewpoint images from a plurality of first real space images obtained by scanning real space. map server; a location recognition server that stores location recognition data extracted from the spatial map and compares the location recognition data with a second real space image obtained through the AR user&amp;#39;s device to determine location information of the AR user&amp;#39;s device on the space map; and communication that stores and provides location information of the AR user&amp;#39;s device on the spatial map and the VR user&amp;#39;s location on the spatial map and uses this to synchronize and display at least one AR user and at least one VR user on the spatial map Includes server.</t>
  </si>
  <si>
    <t>Image processing system and method in metaverse environment</t>
  </si>
  <si>
    <t>Maxst Co., Ltd.</t>
  </si>
  <si>
    <t>KR20210149459A</t>
  </si>
  <si>
    <t>a space map server that generates a space map by using a point cloud from a plurality of first real space images obtained by scanning real space and a plurality of viewpoint images;Storing the location recognition data extracted from the spatial map, and comparing the location recognition data with a second real space image obtained through the AR user's device to determine the location information of the AR user's device on the spatial map location-aware server;and storing and providing location information of the AR user's device on the spatial map and the VR user's location on the spatial map, and synchronizing at least one AR user and at least one VR user on the spatial map using the stored information and a communication server displaying the An image processing system in a metaverse environment for identifying the at least one AR user or the at least one VR user existing on the same spatial map by determining whether at least one or more of the conditions are met.</t>
  </si>
  <si>
    <t>a space map server that generates a space map by using a point cloud from a plurality of first real space images obtained by scanning real space and a plurality of viewpoint images;Storing the location recognition data extracted from the spatial map, and comparing the location recognition data with a second real space image obtained through the AR user's device to determine the location information of the AR user's device on the spatial map location-aware server;
and storing and providing location information of the AR user's device on the spatial map and the VR user's location on the spatial map, and synchronizing at least one AR user and at least one VR user on the spatial map using the stored information and a communication server displaying the An image processing system in a metaverse environment for identifying the at least one AR user or the at least one VR user existing on the same spatial map by determining whether at least one or more of the conditions are met.
The image processing system of claim 1 , wherein the location recognition data includes a three-dimensional location value of a point in the spatial map and a plurality of first descriptors matched thereto.
The method according to claim 2, wherein the location recognition server, the AR user on the spatial map by comparing the plurality of first descriptors extracted from the location recognition data and the plurality of second descriptors extracted from the second real space image. An image processing system in a metaverse environment for identifying the location information of the AR user's device, including the location coordinates and the gaze direction of the device.
delete
The method according to claim 1, wherein the communication server provides at least one of a chat service, a video call service, and a data transmission service between the at least one AR user or the at least one or more VR users located on the same spatial map. An image processing system in a metaverse environment.
The method according to claim 1, wherein the space map server, the second real space image captured in real time from the AR user's device and the location information of the AR user's device to the second real space image on the space map using the An image processing system in a metaverse environment that identifies a corresponding location, overlays the second real space image on the identified location of the spatial map, and provides it to a VR user's device.
The method according to claim 1, wherein the second real space image captured in real time from the device of the AR user and the location information of the device of the AR user to determine a location corresponding to the second real space image on the space map, , The image processing system in a metaverse environment further comprising a device of a VR user that overlays the second real space image on the identified location of the spatial map and displays it on the screen.
The image processing system of claim 7 , wherein the device of the VR user includes the AR user on the spatial map and displays it on the screen using the location information of the device of the AR user.
The meta method according to claim 1, further comprising an AR user device that displays the VR user on the second real space image captured in real time using the location of the VR user on the spatial map transmitted from the communication server. An image processing system in a bus environment.
A space map generated by using a point cloud from a plurality of first real space images and a plurality of viewpoint images is stored, and a plurality of second real space images captured in real time from the AR user's device and the AR user's device are stored. VR for identifying a location corresponding to the second real space image on the space map using location information, and overlaying the second real space image on the identified location on the space map to display it on the screen the user's device;An AR user that stores location recognition data extracted from the spatial map, and compares the location recognition data with the second real space image obtained by scanning real space to identify and provide location information on the space map device of;
and storing and providing location information of the device of the AR user on the space map and the location of the VR user on the space map, and using the stored information to display at least one AR user or at least one or more VR users on the space map. a communication server, wherein the communication server includes at least one of proximity to each other, presence in a specific area, specific service use, and same group based on location information of the AR user's device and the VR user's location An image processing system in a metaverse environment for identifying the at least one AR user or the at least one VR user existing on the same spatial map by determining whether a condition including the above is satisfied.
The method according to claim 10, wherein the device of the AR user compares a plurality of first descriptors extracted from the location recognition data with a plurality of second descriptors extracted from the second real space image, and the AR user on the spatial map An image processing system in a metaverse environment for identifying the location information of the AR user's device, including the location coordinates and the gaze direction of the device.
The image processing system of claim 10 , wherein the device of the VR user includes the AR user on the spatial map and displays it on the screen using the location information of the device of the AR user.
delete
The method of claim 10, wherein the communication server provides at least one service of a chatting service, a video call service, and a data transmission service between the at least one AR user or the at least one or more VR users located on the same spatial map. An image processing system in a metaverse environment.
The method according to claim 10, wherein the device of the AR user displays the VR user on the second real space image captured in real time by using the location of the VR user on the spatial map transmitted from the device of the VR user. An image processing system in a metaverse environment.
generating a space map using a point cloud from a plurality of first real space images obtained by scanning real space and a plurality of viewpoint images;extracting location recognition data from the spatial map;Comparing the location recognition data with a second real space image obtained through the AR user's device, determining location information of the AR user's device on the spatial map;
and synchronizing and displaying at least one AR user and at least one VR user on the spatial map by using the location information of the AR user's device and the VR user's location on the spatial map, In the step of synchronizing and displaying at least one AR user and at least one VR user on the map, based on the location information of the device of the AR user and the location of the VR user, proximity to each other, presence in a specific area, In a metaverse environment in which the at least one AR user or the at least one VR user existing on the same spatial map is identified by determining whether a condition including at least one or more of a specific service use or the same group is satisfied image processing method.
The method of claim 16, wherein the location recognition data includes a three-dimensional location value of a point in the spatial map and a plurality of first descriptors matching the same, and the step of recognizing the location information of the device of the AR user comprises: Receiving the second real space image taken by the device of the;extracting a two-dimensional position value of a point in the second real space image and a plurality of second descriptors matching them; and comparing the plurality of first descriptors with the plurality of second descriptors to determine location information of the AR user's device including the location coordinates and the gaze direction of the AR user's device on the spatial map. image processing method in metaverse environment.
delete
The method according to claim 17, After synchronizing and displaying at least one AR user and at least one VR user on the spatial map, the at least one or more AR users or the at least one or more VRs located on the same spatial map The method of processing an image in a metaverse environment further comprising the step of providing at least one of a chat service, a video call service, and a data transmission service between users.
The method according to claim 17, After the step of synchronizing and displaying at least one AR user and at least one VR user on the spatial map, the second real space image captured in real time from the AR user's device and the AR user recognizing a location corresponding to the second real space image on the space map using location information of the device; and overlaying and displaying the second real space image on the identified location of the spatial map.</t>
  </si>
  <si>
    <t>Kim, Seung Gyun|Son, Tae Yun|Park, Jae Wan</t>
  </si>
  <si>
    <t>G06T01900000 | G06T00770000 | G06T01160000 | H04N02147880 | H04N02181000</t>
  </si>
  <si>
    <t>KR102402580B1</t>
  </si>
  <si>
    <t>KR102402580 B1</t>
  </si>
  <si>
    <t>I-000226195106</t>
  </si>
  <si>
    <t>https://patentscout.innography.com/share/kS5UPnUUwevudb7aGOrorQ%3D%3D</t>
  </si>
  <si>
    <t>2022-05-20-DECISION TO GRANT OR REGISTRATION OF PATENT RIGHT|2022-05-23-WRITTEN DECISION TO GRANT</t>
  </si>
  <si>
    <t>https://patentscout.innography.com/share/kS5UPnUUwevudb7aGOrorQ%3D%3D/download</t>
  </si>
  <si>
    <t>https://v3.espacenet.com/publicationDetails/biblio?CC=KR&amp;NR=102402580B1&amp;KC=B1&amp;FT=D&amp;date=20220526&amp;DB=EPODOC&amp;locale=</t>
  </si>
  <si>
    <t>KR20102402580 B1</t>
  </si>
  <si>
    <t>1.  a space map server that generates a space map by using a point cloud from a plurality of first real space images obtained by scanning real space and a plurality of viewpoint images;Storing the location recognition data extracted from the spatial map, and comparing the location recognition data with a second real space image obtained through the AR user's device to determine the location information of the AR user's device on the spatial map location-aware server;
and storing and providing location information of the AR user's device on the spatial map and the VR user's location on the spatial map, and synchronizing at least one AR user and at least one VR user on the spatial map using the stored information and a communication server displaying the An image processing system in a metaverse environment for identifying the at least one AR user or the at least one VR user existing on the same spatial map by determining whether at least one or more of the conditions are met.</t>
  </si>
  <si>
    <t>10.  A space map generated by using a point cloud from a plurality of first real space images and a plurality of viewpoint images is stored, and a plurality of second real space images captured in real time from the AR user's device and the AR user's device are stored. VR for identifying a location corresponding to the second real space image on the space map using location information, and overlaying the second real space image on the identified location on the space map to display it on the screen the user's device;An AR user that stores location recognition data extracted from the spatial map, and compares the location recognition data with the second real space image obtained by scanning real space to identify and provide location information on the space map device of;
and storing and providing location information of the device of the AR user on the space map and the location of the VR user on the space map, and using the stored information to display at least one AR user or at least one or more VR users on the space map. a communication server, wherein the communication server includes at least one of proximity to each other, presence in a specific area, specific service use, and same group based on location information of the AR user's device and the VR user's location An image processing system in a metaverse environment for identifying the at least one AR user or the at least one VR user existing on the same spatial map by determining whether a condition including the above is satisfied.</t>
  </si>
  <si>
    <t>16.  generating a space map using a point cloud from a plurality of first real space images obtained by scanning real space and a plurality of viewpoint images;extracting location recognition data from the spatial map;Comparing the location recognition data with a second real space image obtained through the AR user's device, determining location information of the AR user's device on the spatial map;
and synchronizing and displaying at least one AR user and at least one VR user on the spatial map by using the location information of the AR user's device and the VR user's location on the spatial map, In the step of synchronizing and displaying at least one AR user and at least one VR user on the map, based on the location information of the device of the AR user and the location of the VR user, proximity to each other, presence in a specific area, In a metaverse environment in which the at least one AR user or the at least one VR user existing on the same spatial map is identified by determining whether a condition including at least one or more of a specific service use or the same group is satisfied image processing method.</t>
  </si>
  <si>
    <t>18.  delete</t>
  </si>
  <si>
    <t>JPH09244522 A | KR100952393 B1 | KR102199940 B1 | KR102272650 B1</t>
  </si>
  <si>
    <t>2021-10-15</t>
  </si>
  <si>
    <t>2041-10-15</t>
  </si>
  <si>
    <t>2022-05-19</t>
  </si>
  <si>
    <t>An apparatus for generating a digital twin space based on providing a metaverse conversation service according to an embodiment includes the steps of: creating a digital twin space including a plurality of buildings with 3D exteriors implemented in a first virtual environment; obtaining a drawing for realizing the interior and exterior of a first building among the plurality of buildings; generating a three-dimensional spatial model embodied inside and outside the first building using a neural network model in a second virtual environment different from the first virtual environment based on the drawing; controlling the size of the 3D space model of the first virtual environment to correspond to the second virtual environment and substituting the 3D spatial model of the second virtual environment with the location of the first building in the first virtual environment; and when a plurality of users access the substituted 3D space model an operation of providing a dialogue interface for performing a voice conversation or a chat conversation between the plurality of users may be performed.</t>
  </si>
  <si>
    <t>Apparatus, method and computer-readable storage medium for generating digital twin space based on providing communication service of metaverse</t>
  </si>
  <si>
    <t>Ersatz Co., Ltd.</t>
  </si>
  <si>
    <t>The Hartford Financial Services Group, Inc.</t>
  </si>
  <si>
    <t>Ersatz Corporation</t>
  </si>
  <si>
    <t>KR20220058415A</t>
  </si>
  <si>
    <t>one or more memories storing instructions for performing predetermined operations; and one or more processors configured to be operatively connected to the one or more memories and to execute the instructions, wherein the operation of the processors creates a digital twin space including a plurality of buildings with 3D exteriors implemented in a first virtual environment. to create an action;obtaining a drawing for realizing the interior and exterior of a first building among the plurality of buildings; generating a three-dimensional spatial model embodied inside and outside the first building using a neural network model in a second virtual environment different from the first virtual environment based on the drawing; In order to make the size of the first building of the first virtual environment implemented in different virtual environments and the size of the 3D space model of the second virtual environment correspond to each other in the same virtual environment, the outermost texture of the 3D space model substituting the three-dimensional space model of the second virtual environment into the first building of the first virtual environment by controlling the volume of the second virtual environment to correspond to the volume of the 3D exterior implemented in the first building of the first virtual environment; and providing a dialogue interface for performing voice or chat conversations between the plurality of users when a plurality of users access the substituted 3D space model, a metaverse dialogue service providing-based digital twin space generating device.</t>
  </si>
  <si>
    <t>one or more memories storing instructions for performing predetermined operations; and one or more processors configured to be operatively connected to the one or more memories and to execute the instructions, wherein the operation of the processors creates a digital twin space including a plurality of buildings with 3D exteriors implemented in a first virtual environment. to create an action;obtaining a drawing for realizing the interior and exterior of a first building among the plurality of buildings; generating a three-dimensional spatial model embodied inside and outside the first building using a neural network model in a second virtual environment different from the first virtual environment based on the drawing; In order to make the size of the first building of the first virtual environment implemented in different virtual environments and the size of the 3D space model of the second virtual environment correspond to each other in the same virtual environment, the outermost texture of the 3D space model substituting the three-dimensional space model of the second virtual environment into the first building of the first virtual environment by controlling the volume of the second virtual environment to correspond to the volume of the 3D exterior implemented in the first building of the first virtual environment; and providing a dialogue interface for performing voice or chat conversations between the plurality of users when a plurality of users access the substituted 3D space model, a metaverse dialogue service providing-based digital twin space generating device.
The digital twin of claim 1, wherein the operation of the processor further comprises providing a camera interface for outputting the inside of the substituted 3D space model as a first-person view to the user. space generator.
The digital twin space of claim 2, wherein the camera interface displays the positions of the first-person viewpoints of different users when a plurality of users access the substituted 3D space model. generating device.
The direction of movement of the first-person view according to claim 2, wherein, in the camera interface, when the first-person view is located in a portion corresponding to a 3D model object corresponding to a staircase in the position of the substituted 3D space model, the first-person view is moved A digital twin space creation device based on metaverse dialogue service, which outputs a space model for each floor that leads to the upper or lower part from the location of the space model for each floor based on the first-person view.
The method of claim 1, wherein the substituting comprises loading the first building and the 3D space model implemented in different virtual environments to correspond to each other in the same virtual environment. The size of the 3D spatial model of the first virtual environment so that the difference between the volume of the outermost texture of the 3D spatial model and the volume of the 3D exterior of the first building previously implemented in the first virtual environment is within a preset range A digital twin space creation device based on metaverse conversation service, including the operation of controlling and substituting
The method of claim 1, wherein the generating of the three-dimensional space model comprises: generating a space model for each floor based on a plan view corresponding to each floor in the drawing; In the figure, a virtual height corresponding to the height information of each floor is formed in the space model for each floor according to the height information of each floor described in the cross-sectional view in the drawing, and the space model for each floor is formed according to the order of each floor described in the cross-sectional view of each floor An operation of creating a connected interior space model with a space equal to the virtual height; and creating an external space model for each side described in the elevation view in the drawing, and connecting the external space model to the internal space model so that the height information of each floor described in the elevation view and the height information of each floor described in the cross-sectional view correspond and generating the three-dimensional space model. A digital twin space generating apparatus based on metaverse conversation service.
The method of claim 6, wherein the generating of the spatial model for each floor based on the plan view comprises: specifying line segments and symbols described in the plan view; generating a three-dimensional model of an object corresponding to a line segment specified in the plan view; and generating a three-dimensional model of an object corresponding to a symbol specified in the plan view.
The method according to claim 7, wherein the specifying of the line segment and the sign comprises: inputting the plan view into a neural network model learned based on a learning plan view in which classes for line information and sign information are labeled, and the line segment included in the plan view; A digital twin space creation device based on metaverse conversation service that includes an operation for specifying a symbol.
The method of claim 6, wherein the generating of the 3D space model provides a custom interface for a user to select an object to be placed in the 3D space model, and a user to customize and select a material and color of the object. A digital twin space creation device based on metaverse conversation service, further comprising the operation of:
In the method for generating a digital twin space based on the metaverse dialog service performed by the digital twin space generating device based on the metaverse dialog service provision, a digital twin space including a plurality of buildings with exteriors implemented in 3D is used as a first virtual environment generating in;obtaining drawings for the implementation of the inside and outside of a first building among the plurality of buildings;generating a three-dimensional spatial model embodied inside and outside the first building using a neural network model in a second virtual environment different from the first virtual environment based on the drawing;In order to make the size of the first building of the first virtual environment implemented in different virtual environments and the size of the 3D space model of the second virtual environment correspond to each other in the same virtual environment, the outermost texture of the 3D space model substituting the 3D spatial model of the second virtual environment into the first building of the first virtual environment by controlling the volume of the to correspond to the volume of the 3D exterior implemented in the first building of the first virtual environment; and when a plurality of users access the substituted 3D space model, providing a dialogue interface for performing voice or chat conversations between the plurality of users, a metaverse dialogue service providing-based digital twin space How to create.</t>
  </si>
  <si>
    <t>Choi, Jae Won|Min, Kyung Seok|Kim, Byeong Soo</t>
  </si>
  <si>
    <t>Y02B0020400000</t>
  </si>
  <si>
    <t>G06F03020000</t>
  </si>
  <si>
    <t>G06F03020000 | G06F01644000 | G06F03013000 | G06F11118000 | G06F11120000 | G06N00308000 | G06T01580000 | G06T01720000 | G06T01900000 | G06T01920000 | H04L05122200</t>
  </si>
  <si>
    <t>KR102399248B1|KR102442136B1|KR102442137B1|KR102442138B1|KR102442139B1|KR102442140B1|KR102442141B1</t>
  </si>
  <si>
    <t>KR102399248 B1 | KR102442136 B1 | KR102442137 B1 | KR102442138 B1 | KR102442139 B1 | KR102442140 B1 | KR102442141 B1</t>
  </si>
  <si>
    <t>I-000230097627</t>
  </si>
  <si>
    <t>20 years from 2021-10-15 (file date of KR20210137349A)</t>
  </si>
  <si>
    <t>https://patentscout.innography.com/share/_Lno-mrJ4ntRRwGIiGKdNw%3D%3D</t>
  </si>
  <si>
    <t>2022-08-31-DECISION TO GRANT OR REGISTRATION OF PATENT RIGHT|2022-09-05-WRITTEN DECISION TO GRANT</t>
  </si>
  <si>
    <t>https://patentscout.innography.com/share/_Lno-mrJ4ntRRwGIiGKdNw%3D%3D/download</t>
  </si>
  <si>
    <t>https://v3.espacenet.com/publicationDetails/biblio?CC=KR&amp;NR=102442136B1&amp;KC=B1&amp;FT=D&amp;date=20220913&amp;DB=EPODOC&amp;locale=</t>
  </si>
  <si>
    <t>KR20102442136 B1</t>
  </si>
  <si>
    <t>KR20102399248 B1</t>
  </si>
  <si>
    <t>1.  one or more memories storing instructions for performing predetermined operations; and one or more processors configured to be operatively connected to the one or more memories and to execute the instructions, wherein the operation of the processors creates a digital twin space including a plurality of buildings with 3D exteriors implemented in a first virtual environment. to create an action;obtaining a drawing for realizing the interior and exterior of a first building among the plurality of buildings; generating a three-dimensional spatial model embodied inside and outside the first building using a neural network model in a second virtual environment different from the first virtual environment based on the drawing; In order to make the size of the first building of the first virtual environment implemented in different virtual environments and the size of the 3D space model of the second virtual environment correspond to each other in the same virtual environment, the outermost texture of the 3D space model substituting the three-dimensional space model of the second virtual environment into the first building of the first virtual environment by controlling the volume of the second virtual environment to correspond to the volume of the 3D exterior implemented in the first building of the first virtual environment; and providing a dialogue interface for performing voice or chat conversations between the plurality of users when a plurality of users access the substituted 3D space model, a metaverse dialogue service providing-based digital twin space generating device.</t>
  </si>
  <si>
    <t>10.  In the method for generating a digital twin space based on the metaverse dialog service performed by the digital twin space generating device based on the metaverse dialog service provision, a digital twin space including a plurality of buildings with exteriors implemented in 3D is used as a first virtual environment generating in;obtaining drawings for the implementation of the inside and outside of a first building among the plurality of buildings;generating a three-dimensional spatial model embodied inside and outside the first building using a neural network model in a second virtual environment different from the first virtual environment based on the drawing;In order to make the size of the first building of the first virtual environment implemented in different virtual environments and the size of the 3D space model of the second virtual environment correspond to each other in the same virtual environment, the outermost texture of the 3D space model substituting the 3D spatial model of the second virtual environment into the first building of the first virtual environment by controlling the volume of the to correspond to the volume of the 3D exterior implemented in the first building of the first virtual environment; and when a plurality of users access the substituted 3D space model, providing a dialogue interface for performing voice or chat conversations between the plurality of users, a metaverse dialogue service providing-based digital twin space How to create.</t>
  </si>
  <si>
    <t>JP2009140492 A | KR102318952 B1 | KR102353556 B1 | KR20140108154 A | KR20200142871 A</t>
  </si>
  <si>
    <t>2022-09-23</t>
  </si>
  <si>
    <t>The present invention relates to a metaverse-based fashion item providing system and an operating method thereof and more particularly to determine a representative item item to be sold in the metaverse according to a trend and to generate a design image designed according to the representative item item. The present invention relates to a metaverse-based fashion item providing system capable of classifying and uploading preferred and non-preferred items and an operating method thereof. To this end the metaverse-based fashion item providing system includes a selection unit that selects an object of interest based on the number of keyword search queries for a body part-specific object identified from an avatar in the metaverse for a certain period and overlays the object of interest. A decision unit that determines representative item items by age group based on the sales rankings of real products sold in possible and preset online shopping malls and AI-based trend diagnosis for a plurality of design images designed by a designer according to the representative item items Based on the output probability value derived by application to the algorithm an item classification unit that classifies the plurality of design images into any one of a favorite item and a non-preferred item and the preferred item to be uploaded to the platform corresponding to the metaverse in augmented reality It includes a data processing unit that renders a 3D item image based on it.</t>
  </si>
  <si>
    <t>Metaverse-based fashion item providing system</t>
  </si>
  <si>
    <t>Design Naive</t>
  </si>
  <si>
    <t>Naive Inc.</t>
  </si>
  <si>
    <t>Naive INC.</t>
  </si>
  <si>
    <t>KR20220050264A</t>
  </si>
  <si>
    <t>a selection unit that selects an object of interest based on the number of keyword searches for a specific period of time for an object for each body part identified from the avatar in the metaverse;a determination unit that can be overlaid on the ROI object and determines representative item items for each age group based on a sales ranking of actual products sold in a preset online shopping mall; Classifying the plurality of design images into either a preferred item or a non-preferred item based on an output probability value derived by applying a plurality of design images designed by a designer according to the representative item item to an AI-based trend diagnosis algorithm. item classification unit; and a data processing unit that renders the preference item into an augmented reality-based 3D item image so that it can be uploaded to a platform corresponding to the metaverse, wherein the data processing unit is a web site preset in a predetermined area of the preference item. In order to overlay the popular search keyword on the preference item, a preset trademark marking area is set as a keyword insertion area when the 3D item image is rendered, and the data processing unit performs the preference before uploading to the platform. The sample product manufactured based on the item is compared with the 3D item image, and the 3D item image is corrected according to the design information of the sample product based on the design difference according to the comparison result, and the data processing unit is the meta a filtering unit configured to filter common design elements between items for avatars of other companies located above a preset sales ranking on the bus and the unpreferred items; an extraction unit for arranging the non-preferred item in a predetermined area of a predetermined template image and extracting a new design element of the non-preferred item captured by applying geometric distortion to a partial area of the template image; and an item complementation unit that generates a plurality of complementary items by applying the new design element to the non-preferred item. and a registration unit that selects any one supplementary item and registers it as the preferred item based on a manager selection signal received as the plurality of supplementary items are transmitted to the manager terminal, wherein the extractor selects the non-preferred item. A new design element is extracted from the corrected images of the non-preferred item captured a plurality of times by sequentially correcting the set distortion correction step, and the preset distortion correction step includes the outline of the non-preferred item disposed in a preset template image. A first step of distorting in the vertical and horizontal directions;a second step of increasing or decreasing the intensity of the image level, color, exposure, contrast, and sharpness of the unfavorable item; and a third step of inverting the color of the non-preferred item, wherein the item classification unit includes: an image collection unit for collecting fashion trend images related to a representative item item through a web;an algorithm generator for generating the trend diagnosis algorithm by learning the feature objects detected from the fashion trend images through machine learning;a derivation unit for deriving an output probability value by sequentially applying the plurality of design images to the trend diagnosis algorithm;an image classification unit for classifying the plurality of design images into at least one design image and the remaining design images based on a difference between the output probability value and a reference value; and an identification unit for identifying the at least one design image as a preferred item and identifying the remaining design images as a non-preferred item.</t>
  </si>
  <si>
    <t>a selection unit that selects an object of interest based on the number of keyword searches for a specific period of time for an object for each body part identified from the avatar in the metaverse;a determination unit that can be overlaid on the ROI object and determines representative item items for each age group based on a sales ranking of actual products sold in a preset online shopping mall; Classifying the plurality of design images into either a preferred item or a non-preferred item based on an output probability value derived by applying a plurality of design images designed by a designer according to the representative item item to an AI-based trend diagnosis algorithm. item classification unit; and a data processing unit that renders the preference item into an augmented reality-based 3D item image so that it can be uploaded to a platform corresponding to the metaverse, wherein the data processing unit is a web site preset in a predetermined area of the preference item. In order to overlay the popular search keyword on the preference item, a preset trademark marking area is set as a keyword insertion area when the 3D item image is rendered, and the data processing unit performs the preference before uploading to the platform. The sample product manufactured based on the item is compared with the 3D item image, and the 3D item image is corrected according to the design information of the sample product based on the design difference according to the comparison result, and the data processing unit is the meta a filtering unit configured to filter common design elements between items for avatars of other companies located above a preset sales ranking on the bus and the unpreferred items; an extraction unit for arranging the non-preferred item in a predetermined area of a predetermined template image and extracting a new design element of the non-preferred item captured by applying geometric distortion to a partial area of the template image; and an item complementation unit that generates a plurality of complementary items by applying the new design element to the non-preferred item. and a registration unit that selects any one supplementary item and registers it as the preferred item based on a manager selection signal received as the plurality of supplementary items are transmitted to the manager terminal, wherein the extractor selects the non-preferred item. A new design element is extracted from the corrected images of the non-preferred item captured a plurality of times by sequentially correcting the set distortion correction step, and the preset distortion correction step includes the outline of the non-preferred item disposed in a preset template image. A first step of distorting in the vertical and horizontal directions;a second step of increasing or decreasing the intensity of the image level, color, exposure, contrast, and sharpness of the unfavorable item; and a third step of inverting the color of the non-preferred item, wherein the item classification unit includes: an image collection unit for collecting fashion trend images related to a representative item item through a web;an algorithm generator for generating the trend diagnosis algorithm by learning the feature objects detected from the fashion trend images through machine learning;a derivation unit for deriving an output probability value by sequentially applying the plurality of design images to the trend diagnosis algorithm;an image classification unit for classifying the plurality of design images into at least one design image and the remaining design images based on a difference between the output probability value and a reference value; and an identification unit for identifying the at least one design image as a preferred item and identifying the remaining design images as a non-preferred item.
The metaverse-based fashion item providing system of claim 1, wherein the selector selects, as the ROI object, a body part most attractive to a person of the opposite sex based on a gender ratio of item purchasers in the metaverse.
The metaverse of claim 1, wherein the selector selects, as the region of interest object, a body part corresponding to the highest rank in disease statistics by occupation occurring for each body part, based on a job ratio of item purchasers in the metaverse. based fashion item provision system.
The method of claim 1, wherein the determination unit determines the representative item item based on the number of paid items overlaid on the ROI object detected from avatar images collected as the avatars of users in the metaverse are captured., a metaverse-based fashion item provision system.
delete
delete
delete
delete</t>
  </si>
  <si>
    <t>Shon, Eun Ah</t>
  </si>
  <si>
    <t>G06Q03006000 | G06F01655000 | G06F01695100 | G06N02000000 | G06Q03002000 | G06T00360000 | G06T00500000 | G06T01340000 | G06T01500000 | G06T01900000</t>
  </si>
  <si>
    <t>KR102446897B1</t>
  </si>
  <si>
    <t>KR102446897 B1</t>
  </si>
  <si>
    <t>I-000230624194</t>
  </si>
  <si>
    <t>https://patentscout.innography.com/share/hkMD8vZT8HF-jdBBmwJoUg%3D%3D</t>
  </si>
  <si>
    <t>https://patentscout.innography.com/share/hkMD8vZT8HF-jdBBmwJoUg%3D%3D/download</t>
  </si>
  <si>
    <t>https://v3.espacenet.com/publicationDetails/biblio?CC=KR&amp;NR=102446897B1&amp;KC=B1&amp;FT=D&amp;date=20220923&amp;DB=EPODOC&amp;locale=</t>
  </si>
  <si>
    <t>KR20102446897 B1</t>
  </si>
  <si>
    <t>1.  a selection unit that selects an object of interest based on the number of keyword searches for a specific period of time for an object for each body part identified from the avatar in the metaverse;a determination unit that can be overlaid on the ROI object and determines representative item items for each age group based on a sales ranking of actual products sold in a preset online shopping mall; Classifying the plurality of design images into either a preferred item or a non-preferred item based on an output probability value derived by applying a plurality of design images designed by a designer according to the representative item item to an AI-based trend diagnosis algorithm. item classification unit; and a data processing unit that renders the preference item into an augmented reality-based 3D item image so that it can be uploaded to a platform corresponding to the metaverse, wherein the data processing unit is a web site preset in a predetermined area of the preference item. In order to overlay the popular search keyword on the preference item, a preset trademark marking area is set as a keyword insertion area when the 3D item image is rendered, and the data processing unit performs the preference before uploading to the platform. The sample product manufactured based on the item is compared with the 3D item image, and the 3D item image is corrected according to the design information of the sample product based on the design difference according to the comparison result, and the data processing unit is the meta a filtering unit configured to filter common design elements between items for avatars of other companies located above a preset sales ranking on the bus and the unpreferred items; an extraction unit for arranging the non-preferred item in a predetermined area of a predetermined template image and extracting a new design element of the non-preferred item captured by applying geometric distortion to a partial area of the template image; and an item complementation unit that generates a plurality of complementary items by applying the new design element to the non-preferred item. and a registration unit that selects any one supplementary item and registers it as the preferred item based on a manager selection signal received as the plurality of supplementary items are transmitted to the manager terminal, wherein the extractor selects the non-preferred item. A new design element is extracted from the corrected images of the non-preferred item captured a plurality of times by sequentially correcting the set distortion correction step, and the preset distortion correction step includes the outline of the non-preferred item disposed in a preset template image. A first step of distorting in the vertical and horizontal directions;a second step of increasing or decreasing the intensity of the image level, color, exposure, contrast, and sharpness of the unfavorable item; and a third step of inverting the color of the non-preferred item, wherein the item classification unit includes: an image collection unit for collecting fashion trend images related to a representative item item through a web;an algorithm generator for generating the trend diagnosis algorithm by learning the feature objects detected from the fashion trend images through machine learning;a derivation unit for deriving an output probability value by sequentially applying the plurality of design images to the trend diagnosis algorithm;an image classification unit for classifying the plurality of design images into at least one design image and the remaining design images based on a difference between the output probability value and a reference value; and an identification unit for identifying the at least one design image as a preferred item and identifying the remaining design images as a non-preferred item.</t>
  </si>
  <si>
    <t>KR20180012108 A</t>
  </si>
  <si>
    <t>2022-10-04</t>
  </si>
  <si>
    <t>2021-11-12</t>
  </si>
  <si>
    <t>2041-11-12</t>
  </si>
  <si>
    <t>The present invention is a method of operating a docent content system for improving sociality for the disabled for the disabled so that they can continue community activities even after Covid-19 is resolved lectures healing and play locations for the disabled and the disabled UI/UX are interlocked A metaverse platform for each type of disability a human care content operation process for the disabled suitable for 5G communication infrastructure through the metaverse platform and a human care docent that people with disabilities can enjoy by using non-face-to-face virtual lecture/healing/play content The contents operation process the experiential content modeling operation process for the improvement of sociality of the disabled through the Human Care docent content and the guide for the disabled designed and designed so that the disabled can be guided by type of disability in the lecture healing and play location and docent content It is characterized by a process process and it is possible to converge element technologies of human care content to promote sociality by type of disability and to develop location and UI/UX in the metaverse to promote sociality by type of disability It has the effect of securing the effectiveness of promoting sociality.</t>
  </si>
  <si>
    <t>5g metaverse-based docent content system method for improving sociality of the disabled</t>
  </si>
  <si>
    <t>Vader Entertainment Korea Co., Ltd.; Ocollor</t>
  </si>
  <si>
    <t>Vader Entertainment Ltd.</t>
  </si>
  <si>
    <t>VADER ENTERTAINMENT LTD.</t>
  </si>
  <si>
    <t>KR20210155376A</t>
  </si>
  <si>
    <t>In the method of operating a docent content system for the promotion of sociality for the disabled for the disabled so that they can continue to engage in community activities even after the Covid-19 is resolved, lecture, healing and play location process (S11) for the disabled, UI and UX process for the disabled A metaverse platform (S10) for each type of disability that (S12) is interlocked with;a human care content operation process (S20) for the disabled suitable for 5G communication based on the metaverse platform (S10);Human care docent content operation process (S30) that can be enjoyed by people with disabilities by type of disability using non-face-to-face virtual lectures and healing and play contents;The human care docent content operation process (S30) through the social enhancement experience content modeling operation process (S40) of the disabled;5G bus-based disabled person, characterized in that it consists of; the lecture, healing and play location process (S11) and the humane docent content operation process (S30), which is planned and designed for disabled people by type of disability (S50); A method of operating a docent content system for social enhancement.</t>
  </si>
  <si>
    <t>In the method of operating a docent content system for the promotion of sociality for the disabled for the disabled so that they can continue to engage in community activities even after the Covid-19 is resolved, lecture, healing and play location process (S11) for the disabled, UI and UX process for the disabled A metaverse platform (S10) for each type of disability that (S12) is interlocked with;a human care content operation process (S20) for the disabled suitable for 5G communication based on the metaverse platform (S10);Human care docent content operation process (S30) that can be enjoyed by people with disabilities by type of disability using non-face-to-face virtual lectures and healing and play contents;The human care docent content operation process (S30) through the social enhancement experience content modeling operation process (S40) of the disabled;5G bus-based disabled person, characterized in that it consists of; the lecture, healing and play location process (S11) and the humane docent content operation process (S30), which is planned and designed for disabled people by type of disability (S50); A method of operating a docent content system for social enhancement.
According to claim 1, wherein in the metaverse platform (S10), disability type status survey and service target process (S13) through disability classification for developing human care docent contents by disability type, and by disability type for the target market by type of disability Service target analysis process (S14), disability type and content matrix process for each type of disability for lecture and healing play through content (S15a), disability severity and disability type, target age, and service position by disability type for service location A method of operating a docent content system for promoting sociality of the disabled based on 5G metaverse, characterized in that a content service matrix process (S15) for each type of disability formed in the process (S15b) is provided.
[Claim 3] The VR lecture hall (first location) in which the disabled can enhance sociability, reliability, independence, cooperation, and leadership through a virtual experience group counseling program on the metaverse platform (S10) is utilized. VR travel (second time) that can enhance the sociality (self-actualization, psychological stability, spontaneity) of the disabled by providing a group counseling program process (S16a) and a program that allows people to be healed while talking with friends and virtual tours of famous domestic and foreign tourist destinations Location) through the healing and communication program process (S16b), and through group cooperation and individual cooperative game play, groups through VR games (third location) that enable disabled people to activate self-exposure and affinity and enhance social participation A method of operating a docent content system for promoting sociality of the disabled based on 5G metaverse, characterized in that the program process (S16) for promoting sociality of the disabled is formed through a virtual experience made of collaboration and participation improvement program process (S16c).
The VR content process process according to claim 1, wherein, in the first program, “I introduce my friend,” in the first program, “I introduce my friend,” to promote “sociability and reliability” in the experience content modeling operation process for the disabled (S40) (S41a) and “I am such a person!!” to promote “autonomy and leadership” through the second program “I am such a person!!” Utilize the VR lecture hall (first location) consisting of the VR content process process (S41b) and the “Movie made together” VR content process process (S41c) to promote “collaboration” through the third program, “Movie made together” A method of operating a docent content system for promoting sociality of the disabled based on 5G metaverse, characterized in that a group counseling program content process process (S41) is formed.
According to claim 4, wherein the experience content modeling operation process for the disabled includes a healing program content process process (S42) using VR domestic and foreign famous tourist destinations (second location) to promote “spontaneity and self-actualization”; 5G metaverse-based, characterized in that the group and individual cooperative program content process process (S43) is formed for VR games (third location) through VR group and individual collaborative game play content to promote “collaboration and social participation” A method of operating a docent content system for the promotion of sociality with the disabled.
The method of claim 1, wherein, in the experience content modeling operation process for the disabled (S40), membership registration, equipment operation and precautions, program access and execution, avatar setting, three major contents, sociality improvement, individual evaluation storage and accumulation A method of operating a docent content system for promoting sociality with 5G metaverse based on 5G metaverse, characterized in that a storyboard writing process (S44) in consideration of detailed development goals, experiential content structure, and UI/UX to record and store is provided.
According to claim 1, wherein the human care content operation process (S20) includes a VR360 overseas image production process (S31) in which 360-degree images of major overseas attractions are produced. A method of operating a docent content system for promoting sociality of the disabled based on 5G metaverse, characterized in that the VR360 domestic image production process (S32) that produced 360-degree images of major domestic attractions was formed.</t>
  </si>
  <si>
    <t>Cho, Jang Rae|Chun, Woo Joung|Song, Hyung Yeol</t>
  </si>
  <si>
    <t>G06Q0050220000</t>
  </si>
  <si>
    <t>G06Q05022000 | G06Q05010000 | G06Q05030000 | G06T01340000 | G06T01900000 | G16H02070000 | H04N01322100</t>
  </si>
  <si>
    <t>KR102450175B1</t>
  </si>
  <si>
    <t>KR102450175 B1</t>
  </si>
  <si>
    <t>I-000231193572</t>
  </si>
  <si>
    <t>20 years from 2021-11-12 (file date)</t>
  </si>
  <si>
    <t>https://patentscout.innography.com/share/5mmKWTDxI0DIhowkNO7gZw%3D%3D</t>
  </si>
  <si>
    <t>2022-09-28-WRITTEN DECISION TO GRANT</t>
  </si>
  <si>
    <t>https://patentscout.innography.com/share/5mmKWTDxI0DIhowkNO7gZw%3D%3D/download</t>
  </si>
  <si>
    <t>https://v3.espacenet.com/publicationDetails/biblio?CC=KR&amp;NR=102450175B1&amp;KC=B1&amp;FT=D&amp;date=20221004&amp;DB=EPODOC&amp;locale=</t>
  </si>
  <si>
    <t>KR20102450175 B1</t>
  </si>
  <si>
    <t>1.  In the method of operating a docent content system for the promotion of sociality for the disabled for the disabled so that they can continue to engage in community activities even after the Covid-19 is resolved, lecture, healing and play location process (S11 ) for the disabled, UI and UX process for the disabled A metaverse platform (S10 ) for each type of disability that (S12 ) is interlocked with;a human care content operation process (S20 ) for the disabled suitable for 5G communication based on the metaverse platform (S10 );Human care docent content operation process (S30 ) that can be enjoyed by people with disabilities by type of disability using non-face-to-face virtual lectures and healing and play contents;The human care docent content operation process (S30 ) through the social enhancement experience content modeling operation process (S40 ) of the disabled;5G bus-based disabled person, characterized in that it consists of; the lecture, healing and play location process (S11 ) and the humane docent content operation process (S30 ), which is planned and designed for disabled people by type of disability (S50 ); A method of operating a docent content system for social enhancement.</t>
  </si>
  <si>
    <t>CN114285674 A | CN114707043 A</t>
  </si>
  <si>
    <t>2021-09-27</t>
  </si>
  <si>
    <t>2041-09-27</t>
  </si>
  <si>
    <t>The invention claims a Metaverse universe digital management method constructing government enterprise organizational structure model and service management structure model based on post; constructing government enterprise information system model by role as minimum unit mapping by post and role constructing tissue structure a relation model between the service management structure and the information-based system; and taking the existing entity organization as the base taking the virtual organization derived from the plan as the auxiliary establishing a new structure of the new generation of government and government enterprise management the existing organization is responsible for the management of personnel system management service resource management service object management business process management function the virtual organization through the business resource coordination of innovation planning and special business the connection of the service object managing the upgrading and innovation of government enterprise. The invention can make the digital better applied to the management optimization and perfecting of government enterprise supporting technology upgrading realizing the synchronization of social integration.</t>
  </si>
  <si>
    <t>Metaverse universe digital management method</t>
  </si>
  <si>
    <t>universe|digital management|government|upgrade|structure model</t>
  </si>
  <si>
    <t>Hangzhou Runde Network Technology Co., Ltd.</t>
  </si>
  <si>
    <t>Cangzhou Runde Electronic Technology Co., Ltd.</t>
  </si>
  <si>
    <t>CANGZHOU RUNDE ELECTRONIC TECHNOLOGY CO., LTD.</t>
  </si>
  <si>
    <t>CN202111132313A</t>
  </si>
  <si>
    <t>1. A digital management method of Metaverse universe, based on government enterprise main body and information application system, wherein on the informatization technical architecture, based on the digital data fusion, establishing a standardized data carding model and a data authority management model; establishing a uniform centralized application authority management model; to organize structure, the service structure is a twinborn basic structure, establishing a three-dimensional management model of transverse and longitudinal interleaving; the organization management structure from up to down is based on the standard flow and plan management structure of the business management; using large data analysis optimization application as target, establishing digital twinning data analysis model; optimizing data model and organization, service management structure; The management method is specifically as follows: constructing government enterprise organization structure model and service management structure model based on post; constructing government enterprise information system model by role as minimum unit, constructing organization structure through mapping of post and role; the relation model between the service management structure and the information system; and taking the existing entity organization as the base, taking the virtual organization derived from the plan as the auxiliary, establishing a new structure of the new generation of government and enterprise management, the existing organization is responsible for the personnel management, system management, service resource management, service object management, business process management function, the virtual organization through the business resource coordination of innovation planning and special business, the connection of the service object, managing the upgrading and innovation of government enterprise.</t>
  </si>
  <si>
    <t>1. A digital management method of Metaverse universe, based on government enterprise main body and information application system, wherein on the informatization technical architecture, based on the digital data fusion, establishing a standardized data carding model and a data authority management model; establishing a uniform centralized application authority management model; to organize structure, the service structure is a twinborn basic structure, establishing a three-dimensional management model of transverse and longitudinal interleaving; the organization management structure from up to down is based on the standard flow and plan management structure of the business management; using large data analysis optimization application as target, establishing digital twinning data analysis model; optimizing data model and organization, service management structure; The management method is specifically as follows: constructing government enterprise organization structure model and service management structure model based on post; constructing government enterprise information system model by role as minimum unit, constructing organization structure through mapping of post and role; the relation model between the service management structure and the information system; and taking the existing entity organization as the base, taking the virtual organization derived from the plan as the auxiliary, establishing a new structure of the new generation of government and enterprise management, the existing organization is responsible for the personnel management, system management, service resource management, service object management, business process management function, the virtual organization through the business resource coordination of innovation planning and special business, the connection of the service object, managing the upgrading and innovation of government enterprise.2. The Metaverse universe digital management method according to claim 1, wherein wherein the tissue structure model is by combing the hierarchy structure of government enterprise, post setting and personnel arrangement, forming a work division and mechanism of normal working process, establishing a data home structure based on the main post.3. The Metaverse universe digital management method according to claim 1, wherein wherein the service management structure model is a service management structure focusing in the form of a plan, through flexible special service management structure, beneficial for flat management special service elite, technical elite, supplementary government enterprise organization structure management, soft government enterprise system reform and technical upgrading optimization.4. The Metaverse universe digital management method according to claim 1, wherein wherein the mapping of the post is to set mapping standardization service flow through post, establishing support base for sustainable and stable development of the service.5. The Metaverse universe digital management method according to claim 1, wherein wherein the mapping of the role is through the team management, professional management, social resources associated with the public, realizing the high efficiency of the government enterprise, low cost of the target implementation.6. The Metaverse universe digital management method according to claim 1, wherein Data formatting and normalization management are realized through basic data management.7. The Metaverse universe digital management method according to claim 1, wherein The service data is authorized by the station based on the interface.8. The Metaverse universe digital management method according to claim 1, wherein uniformly maintaining menu information of each application site, entity information, realizing uniform authorization of government enterprise.9. The Metaverse universe digital management method according to claim 1, wherein The new generation of enterprise management takes organizationof post management as a node, the association relationship between the soft virtual organization and the entity organization is to promote the maturity and development of the government enterprise.10. The Metaverse universe digital management method according to claim 1, wherein Through the existing service flow management, enterprise planning, subdivision management of special service, through flat management, centralized advantage resource optimization and upgrading enterprise innovation and special service.</t>
  </si>
  <si>
    <t>Jiang, Wei</t>
  </si>
  <si>
    <t>G06Q0010063130</t>
  </si>
  <si>
    <t>G06Q0010063130 | G06Q0010103000 | G06Q0050260000</t>
  </si>
  <si>
    <t>G06Q01006000 | G06Q01010000 | G06Q05026000</t>
  </si>
  <si>
    <t>CN113793059A</t>
  </si>
  <si>
    <t>CN113793059 A</t>
  </si>
  <si>
    <t>I-000220005676</t>
  </si>
  <si>
    <t>20 years from 2021-09-27 (file date)</t>
  </si>
  <si>
    <t>https://patentscout.innography.com/share/kHbqyf0iWoLbsIJpoVr2sQ%3D%3D</t>
  </si>
  <si>
    <t>2021-12-14-PUBLICATION|2021-12-31-ENTRY INTO FORCE OF REQUEST FOR SUBSTANTIVE EXAMINATION</t>
  </si>
  <si>
    <t>https://patentscout.innography.com/share/kHbqyf0iWoLbsIJpoVr2sQ%3D%3D/download</t>
  </si>
  <si>
    <t>https://v3.espacenet.com/publicationDetails/biblio?CC=CN&amp;NR=113793059A&amp;KC=A&amp;FT=D&amp;date=20211214&amp;DB=EPODOC&amp;locale=</t>
  </si>
  <si>
    <t>total | 建模</t>
  </si>
  <si>
    <t>1.  1.  A digital management method of Metaverse universe, based on government enterprise main body and information application system, wherein on the informatization technical architecture, based on the digital data fusion, establishing a standardized data carding model and a data authority management model; establishing a uniform centralized application authority management model; to organize structure, the service structure is a twinborn basic structure, establishing a three-dimensional management model of transverse and longitudinal interleaving; the organization management structure from up to down is based on the standard flow and plan management structure of the business management; using large data analysis optimization application as target, establishing digital twinning data analysis model; optimizing data model and organization, service management structure; The management method is specifically as follows: constructing government enterprise organization structure model and service management structure model based on post; constructing government enterprise information system model by role as minimum unit, constructing organization structure through mapping of post and role; the relation model between the service management structure and the information system; and taking the existing entity organization as the base, taking the virtual organization derived from the plan as the auxiliary, establishing a new structure of the new generation of government and enterprise management, the existing organization is responsible for the personnel management, system management, service resource management, service object management, business process management function, the virtual organization through the business resource coordination of innovation planning and special business, the connection of the service object, managing the upgrading and innovation of government enterprise.</t>
  </si>
  <si>
    <t>JP2018106258 A | JP2019197519 A | KR20190062045 A</t>
  </si>
  <si>
    <t>The present invention relates to a method of controlling user image data in a metaverse-based office environment and more particularly in constructing an office environment in a three-dimensional virtual space based on the metaverse a participant corresponding to a character connected to the office environment. By filming the current situation of the (user) in real time and overlapping it with the virtual image it is possible to greatly improve the social ties in the virtual space pursued by the metaverse. In particular the present invention can intuitively check the distance to each user by adjusting the size at which the user image of the remote user is output based on the relative spatial information between the user (local user) and other users (remote user).  it is possible to improve the concentration of users who are relatively close. By receiving the image data of the video camera photographed at a remote point placing it in a two-dimensional shape at the position of the character&amp;#39;s head in the three-dimensional virtual space and replacing the character&amp;#39;s face with the user&amp;#39;s image data captured in real time it is possible to simply communicate by text. It is possible to simultaneously transmit additional information based on the other person&amp;#39;s expression or behavior without limiting it. Accordingly reliability and competitiveness can be improved in the metaverse field virtual reality field and virtual office field as well as similar or related fields.</t>
  </si>
  <si>
    <t>User image data control method in metaverse based office environment, storage medium in which a program executing the same, and user image data control system including the same</t>
  </si>
  <si>
    <t>Zigbang Co., Ltd.</t>
  </si>
  <si>
    <t>ZIGBANG CO., LTD.</t>
  </si>
  <si>
    <t>KR20210189920A</t>
  </si>
  <si>
    <t>User image matching that confirms the camera viewpoint of a local user in a virtual space and matches the user image captured by the remote user in real time with the avatar of the local user and each remote user included in the conversation group within the virtual area of the camera viewpoint step;a relationship information checking step of checking relationship information including a relationship value between a local user and a remote user based on the relative spatial information of the local user and the remote user; and a user image adjusting step of adjusting a user image of a corresponding remote user based on the relationship information.</t>
  </si>
  <si>
    <t>User image matching that confirms the camera viewpoint of a local user in a virtual space and matches the user image captured by the remote user in real time with the avatar of the local user and each remote user included in the conversation group within the virtual area of the camera viewpoint step;a relationship information checking step of checking relationship information including a relationship value between a local user and a remote user based on the relative spatial information of the local user and the remote user; and a user image adjusting step of adjusting a user image of a corresponding remote user based on the relationship information.
The method of claim 1, wherein the relative spatial information includes a relative distance between a local user and a remote user, the relationship value includes a distance coefficient according to the relative distance, and the adjusting of the user image comprises: the local user and the remote user A method for controlling user image data in a metaverse-based office environment, characterized in that the size of the user image of the corresponding remote user is adjusted based on the distance coefficient between the two.
The metaverse-based office according to claim 2, wherein in the adjusting of the user image, the size change of the user image by the distance coefficient is changed at a rate smaller than the size change rate of the avatar matched with the remote user. A method of controlling user image data in the environment.
[Claim 4] The method of claim 3, wherein in the adjusting of the user image, the minimum size of the user image is larger than the minimum size that guarantees visibility.
The method of claim 1, wherein the relative spatial information includes a relative direction between a local user and a remote user, the relationship value includes a direction coefficient according to the relative direction, and the adjusting of the user image comprises: A method for controlling user image data in a metaverse-based office environment, characterized in that the size of the user image of the corresponding remote user is adjusted based on the direction coefficient of the liver.
[Claim 6] The metaverse-based office of claim 5, wherein in the adjusting of the user image, the size change of the user image by the direction coefficient is changed at a rate smaller than the size change rate of the avatar matched with the remote user. A method of controlling user image data in the environment.
The method according to claim 6, wherein, in the adjusting of the user image, the maximum size of the user image is smaller than the maximum size that guarantees a balance between the virtual image and the user image. .
The method according to claim 1, wherein the relative spatial information includes position information of a camera, the relation value includes a camera coefficient according to the position information of the camera, and the adjusting of the user image comprises a camera coefficient between the local user and the remote user. A method for controlling user image data in a metaverse-based office environment, characterized in that the size of the user image of the corresponding remote user is adjusted based on the .
The method of claim 1, wherein the relative spatial information includes a relative distance and a relative direction between a local user and a remote user, and location information of a camera, and the relation value is a distance coefficient according to the relative distance and a direction coefficient according to the relative direction. , calculated based on at least two coefficients among the camera coefficients according to the location information of the camera, and the user image adjusting step adjusts the size of the user image of the remote user based on the relation value. A method of controlling user image data in an office-based environment.
The method of claim 1 , wherein the matching of the user image comprises: confirming the two-dimensional coordinates on which the head position of the corresponding avatar is projected from the virtual image of the camera coordinate system on which the virtual space of the three-dimensional coordinate system is projected; and a user image overlapping step of overlapping the corresponding user image on the two-dimensional coordinates of the virtual image.
11. The method of claim 10, wherein the step of checking the target coordinates comprises: an avatar location checking step of checking the location of the corresponding avatar in a three-dimensional virtual space;a relative position checking step of calculating the relative position of the head in the skeletal structure of the corresponding avatar;a head position checking step of calculating the 3D coordinates of the head by applying the relative position to the 3D coordinates of the corresponding avatar; and a projection coordinate confirmation step of confirming the two-dimensional coordinates on which the head position of the corresponding avatar is projected.
The conversation group confirmation step of claim 1, wherein, before the user image matching step, a camera viewpoint of a target user is confirmed in a virtual space, and whether a conversation group for users included in the virtual image of the corresponding camera viewpoint is included. User image data control method in a metaverse-based office environment, characterized in that it further comprises ;.
13. The method of claim 12, wherein the checking of the talk group comprises: checking a spatial area partitioned by setting in the virtual space; and a conversation group determination step of judging a user located in the same spatial area as the target user as a conversation group.
14. The method of claim 13, wherein, in the determining of the talk group, a conversation group participation restriction is set in at least some spatial areas including a security area in the virtual space, and conversation participation rights among users located in the corresponding spatial area are removed. A method for controlling user image data in a metaverse-based office environment, characterized in that the user is excluded from the corresponding conversation group.
A storage medium in which a program for executing the method for controlling user image data in the metaverse-based office environment of any one of claims 1 to 14 is recorded.
A system for controlling user image data in a metaverse-based office environment including the storage medium of claim 15 .</t>
  </si>
  <si>
    <t>Kim, Daewook|Kim, Daeho|Je, Sungchul|Lee, Dohaeng|Choi, Yongjae</t>
  </si>
  <si>
    <t>G06T01900000 | G06T00340000 | G06T01340000 | G06T01920000</t>
  </si>
  <si>
    <t>KR102395940B1</t>
  </si>
  <si>
    <t>KR102395940 B1</t>
  </si>
  <si>
    <t>I-000225377024</t>
  </si>
  <si>
    <t>https://patentscout.innography.com/share/LKmEar-liNSo0awOKUKjUg%3D%3D</t>
  </si>
  <si>
    <t>2022-04-25-DECISION TO GRANT OR REGISTRATION OF PATENT RIGHT|2022-05-04-WRITTEN DECISION TO GRANT</t>
  </si>
  <si>
    <t>https://patentscout.innography.com/share/LKmEar-liNSo0awOKUKjUg%3D%3D/download</t>
  </si>
  <si>
    <t>https://v3.espacenet.com/publicationDetails/biblio?CC=KR&amp;NR=102395940B1&amp;KC=B1&amp;FT=D&amp;date=20220509&amp;DB=EPODOC&amp;locale=</t>
  </si>
  <si>
    <t>KR20102395940 B1</t>
  </si>
  <si>
    <t>1.  User image matching that confirms the camera viewpoint of a local user in a virtual space and matches the user image captured by the remote user in real time with the avatar of the local user and each remote user included in the conversation group within the virtual area of the camera viewpoint step;a relationship information checking step of checking relationship information including a relationship value between a local user and a remote user based on the relative spatial information of the local user and the remote user; and a user image adjusting step of adjusting a user image of a corresponding remote user based on the relationship information.</t>
  </si>
  <si>
    <t>2022-09-14</t>
  </si>
  <si>
    <t>2022-08-13</t>
  </si>
  <si>
    <t>2042-08-13</t>
  </si>
  <si>
    <t>The present invention is a method for transacting real estate on the metaverse and enabling the buyer to claim ownership of the real estate by producing and selling the registration right for the metaverse real estate with NFT. The present invention assumes that the three metaverse worlds &amp;#39;ABBA_A&amp;#39; &amp;#39;ABBA_I&amp;#39; and ABBA_J&amp;#39; exist in a parallel universe with the real Earth and have mutual similarities and broadly introduces the worldview using social media. This setting induces potential buyers to match the present value of real-world real estate to virtual real estate in Metaverse so that the value of virtual real estate is set and demand is created and expanded. On the other hand the three metaverse worldviews of the present invention have different timelines from the real world and the addresses and names of buildings are also slightly different from the real world so that they can be clearly distinguished from the real world. Through the present invention an independent worldview and system can be established that can trade real estate for sale in the online virtual reality world that is metaverse and claim ownership of the real estate. In this worldview and system the parties to the transaction can rationally review the direction of investment by referring to the real-world spot real estate market price without affecting or harming the real-world spot real estate. In addition the present invention utilizes blockchain technology to enable exchange of values and proof of ownership through simplified transaction procedures and fees between transaction parties without a third party guaranteeing the transaction.</t>
  </si>
  <si>
    <t>A method of trade and proving ownership of real estate in a metaverse via nft-formatted registration certificate</t>
  </si>
  <si>
    <t>Kim, Si Jin</t>
  </si>
  <si>
    <t>KR20220101680A</t>
  </si>
  <si>
    <t>Third-party guarantee by inserting 'Certificate of Registration Rights', 'Registration Certificate', 'Certificate of Registration' or similar phrases meaning proof of rights prior to registration of specific real estate and producing and selling 'NFT products in the form of certificates or certificates' It wants to be protected against a high-level design that allows the buyer to claim ownership of the metaverse real estate by sharing transaction details extensively with blockchain technology without</t>
  </si>
  <si>
    <t>Third-party guarantee by inserting 'Certificate of Registration Rights', 'Registration Certificate', 'Certificate of Registration' or similar phrases meaning proof of rights prior to registration of specific real estate and producing and selling 'NFT products in the form of certificates or certificates' It wants to be protected against a high-level design that allows the buyer to claim ownership of the metaverse real estate by sharing transaction details extensively with blockchain technology without
1) 'ABBA_A', 'ABBA_I', ABBA_J' metaverse worldview 2) 'Register Office for Metaverse (abbreviation: RO4M)' The name of the issuing agency, social media accounts, NFT-only market accounts, etc. cannot be stolen. 3) Each metaverse world has a different timeline, and the real estate available for purchase in each world is divided into land, buildings, reconstructions, etc. (A: land, I: buildings, J: reconstructions) 4) meta The address of real estate on the bus is the same as in the real world, but by adding phrases such as 'ABBA World' after the address and specifying 'valid in the Metaverse, ABBA World ONLY' in the registration right symptom, it is distinguished from real real estate in the real world. Point 5) The geographical location, scale, design, etc. of buildings traded on the metaverse are the same as the properties of buildings in the real world at the same location in the parallel universe, but the names are slightly different to protect the design that distinguishes them from each other.. In the metaverse and NFT markets, ideas and designs become a competitive edge that drives huge investment capital, and the above designs are pure creativity of the inventor. In addition, without distinction from the real world, there is a possibility that disputes may arise, such as confusion of buyers and infringement of trademark rights.</t>
  </si>
  <si>
    <t>G06Q0050100000 | G06Q0030061300 | G06Q2220165000</t>
  </si>
  <si>
    <t>G06Q05010000 | G06Q03006000</t>
  </si>
  <si>
    <t>KR20220125195A</t>
  </si>
  <si>
    <t>KR20220125195 A</t>
  </si>
  <si>
    <t>I-000230095715</t>
  </si>
  <si>
    <t>20 years from 2022-08-13 (file date)</t>
  </si>
  <si>
    <t>https://patentscout.innography.com/share/dZyYR19f_lCAMDoLuTiAGw%3D%3D</t>
  </si>
  <si>
    <t>https://patentscout.innography.com/share/dZyYR19f_lCAMDoLuTiAGw%3D%3D/download</t>
  </si>
  <si>
    <t>https://v3.espacenet.com/publicationDetails/biblio?CC=KR&amp;NR=20220125195A&amp;KC=A&amp;FT=D&amp;date=20220914&amp;DB=EPODOC&amp;locale=</t>
  </si>
  <si>
    <t>1.  Third-party guarantee by inserting 'Certificate of Registration Rights', 'Registration Certificate', 'Certificate of Registration' or similar phrases meaning proof of rights prior to registration of specific real estate and producing and selling 'NFT products in the form of certificates or certificates' It wants to be protected against a high-level design that allows the buyer to claim ownership of the metaverse real estate by sharing transaction details extensively with blockchain technology without</t>
  </si>
  <si>
    <t>2.  1 ) 'ABBA_A', 'ABBA_I', ABBA_J' metaverse worldview 2 ) 'Register Office for Metaverse (abbreviation: RO4M)' The name of the issuing agency, social media accounts, NFT-only market accounts, etc. cannot be stolen. 3 ) Each metaverse world has a different timeline, and the real estate available for purchase in each world is divided into land, buildings, reconstructions, etc. (A: land, I: buildings, J: reconstructions) 4 ) meta The address of real estate on the bus is the same as in the real world, but by adding phrases such as 'ABBA World' after the address and specifying 'valid in the Metaverse, ABBA World ONLY' in the registration right symptom, it is distinguished from real real estate in the real world. Point 5 ) The geographical location, scale, design, etc. of buildings traded on the metaverse are the same as the properties of buildings in the real world at the same location in the parallel universe, but the names are slightly different to protect the design that distinguishes them from each other.. In the metaverse and NFT markets, ideas and designs become a competitive edge that drives huge investment capital, and the above designs are pure creativity of the inventor. In addition, without distinction from the real world, there is a possibility that disputes may arise, such as confusion of buyers and infringement of trademark rights.</t>
  </si>
  <si>
    <t>KR20100084597 A | KR101923723 B1 | KR101957446 B1 | KR20150028533 A | KR20200046515 A | KR20210084839 A | KR20210133919 A</t>
  </si>
  <si>
    <t>2022-09-27</t>
  </si>
  <si>
    <t>According to the present invention a user who is provided with a tour service for a building on the metaverse can simultaneously check a 3D image and a floor plan image of the interior and exterior of the building on the metaverse screen and the corresponding touring guide markers displayed on the metaverse screen Detailed information on various places/structures/facilities inside and outside the building can be provided when necessary and the service is provided in such a way that the user&amp;#39;s avatar moves on the metaverse so that multiple user&amp;#39;s avatars can have a conversation or have a meeting on the metaverse. It relates to a building indoor and outdoor touring guide mark system for a metaverse so that communication services such as It consists of a device a user control device and a studio-type VR support device.</t>
  </si>
  <si>
    <t>Building touring guide marking system for metaverse</t>
  </si>
  <si>
    <t>Heliosen Inc.</t>
  </si>
  <si>
    <t>HELIOSEN INC.</t>
  </si>
  <si>
    <t>KR20220033940A</t>
  </si>
  <si>
    <t>Information (130, hereinafter referred to as “spatial information”) about the indoor and outdoor space of the building based on the 3D images 110 and floor plan images 120 of the corresponding building for each building and the 3D image 110 is provided. The database server 100 is stored:The media server 200 for displaying the 3D images 110 and the floor plan images 120 of the buildings selected from among the buildings of the database server 100 at the same time through the VR screen:A head mounted display (HMD) type VR device 300 that simultaneously displays the 3D image 110 and the floor plan image 120 of the building on a VR screen according to signals and data transmitted through the media server 200):A user control device 400 for transmitting a user's manipulation signal to the media server 200: and a metaverse touring of a building for a user wearing the VR device 300 and a user wearing the VR device 300 and a studio-type VR support device 500 that provides additional functions for services, wherein the studio-type VR support device 500 includes a front panel 511, a left panel 512, a right panel 513, and a ceiling a studio structure 510 in which only one rear surface is opened including a panel 514 and a floor panel 515 and a display panel 516 is installed on the inner surface of the front panel 511; A touring preparation detection unit 520 that is installed on the upper surface of the floor panel 515 in a recessed type for the floor panel 515 and detects that the user is positioned in the studio structure 510 through load sensing;; A fixing bracket 531 fixed to the ceiling panel 514, a vertical drive module 532 that is coupled to the fixing bracket 531 and operates to adjust the length in the vertical direction, and a lower end of the vertical drive module 532 Communication for receiving an operation control signal for the device support module 533 and the vertical driving module 532 installed in a device for detachably coupling the VR device 300 from the outside and transmitting it to the vertical driving module 532 a VR device storage/retrieval unit 530 including a module 534; a camera module 540 installed in the studio structure 510 and operated according to a control signal from the outside to obtain a user's video image located in the touring preparation detection unit 520; It is installed in the studio structure 510, and controls each of the communication module 534 and the camera module 540 according to the user's position detection signal in the studio structure 510 through the touring preparation detection unit 520. and a controller 550 for outputting a signal and transmitting a user's video image transmitted from the camera module 540 through the communication module 534 to the media server 200, the 3D image 110 is made in a form in which touring guide markers 111 are displayed at a plurality of locations among the indoor and outdoor locations of the building, and the media server 200 is selected from among the touring guide markers 111 through the user control device 400 The spatial information 130 matching the touring guide marker 111 is detected from the database server 100 and displayed on the VR device 300, Serial numbers are assigned to the touring guide markers 111 according to a predetermined order in order to provide an optimal touring movement for a building, and the media server 200 generates an avatar moving on the 3D image 110. and a control function, wherein the avatar is generated according to the user image image of the camera module 540 transmitted through the control unit 550, and the touring guide marker 111 for indoor and outdoor tours of the building through the avatar), while providing a communication function between the avatars created for each user. The user control device 400 requests the media server 200 so that the list of buildings stored in the database server 100 is displayed on the display panel 516 of the studio structure 510, a building list request switch (410) and a touring service request switch 420 having a function of selecting a building for receiving a metaverse touring service from the list of buildings displayed on the display panel 516, Users who receive the touring service can walk and touring while simultaneously checking the 3D image and floor plan image of the building indoors and outdoors on the metaverse screen, and through the touring guide markers displayed on the metaverse screen, various indoor and outdoor scenes of the building Information on place/structure/facility is provided when necessary, As the touring guide markers are given a serial number that provides an optimal touring movement for the corresponding building, tour of the building can be performed while referring to the serial number, and the avatars of multiple users can have a conversation or have a meeting on the corresponding metaverse. Communication services are provided, such as using a communication A series of processes of checking a building list through the display panel of the studio-type VR support device at a predetermined location in the studio-type VR support device, at the same time selecting a building for touring from the building list and requesting a touring service This can be done routinely, A building indoor/outdoor touring guide mark system for the metaverse, characterized in that it can collectively perform touring services on the metaverse for various buildings.</t>
  </si>
  <si>
    <t>1C;spatial information”) about the indoor and outdoor space of the building based on the 3D images 110 and floor plan images 120 of the corresponding building for each building and the 3D image 110 is provided. The database server 100 is stored:The media server 200 for displaying the 3D images 110 and the floor plan images 120 of the buildings selected from among the buildings of the database server 100 at the same time through the VR screen:A head mounted display (HMD) type VR device 300 that simultaneously displays the 3D image 110 and the floor plan image 120 of the building on a VR screen according to signals and data transmitted through the media server 200):A user control device 400 for transmitting a user's manipulation signal to the media server 200: and a metaverse touring of a building for a user wearing the VR device 300 and a user wearing the VR device 300 and a studio-type VR support device 500 that provides additional functions for services, wherein the studio-type VR support device 500 includes a front panel 511, a left panel 512, a right panel 513, and a ceiling a studio structure 510 in which only one rear surface is opened including a panel 514 and a floor panel 515 and a display panel 516 is installed on the inner surface of the front panel 511; A touring preparation detection unit 520 that is installed on the upper surface of the floor panel 515 in a recessed type for the floor panel 515 and detects that the user is positioned in the studio structure 510 through load sensing;; A fixing bracket 531 fixed to the ceiling panel 514, a vertical drive module 532 that is coupled to the fixing bracket 531 and operates to adjust the length in the vertical direction, and a lower end of the vertical drive module 532 Communication for receiving an operation control signal for the device support module 533 and the vertical driving module 532 installed in a device for detachably coupling the VR device 300 from the outside and transmitting it to the vertical driving module 532 a VR device storage/retrieval unit 530 including a module 534; a camera module 540 installed in the studio structure 510 and operated according to a control signal from the outside to obtain a user's video image located in the touring preparation detection unit 520; It is installed in the studio structure 510, and controls each of the communication module 534 and the camera module 540 according to the user's position detection signal in the studio structure 510 through the touring preparation detection unit 520. and a controller 550 for outputting a signal and transmitting a user's video image transmitted from the camera module 540 through the communication module 534 to the media server 200, the 3D image 110 is made in a form in which touring guide markers 111 are displayed at a plurality of locations among the indoor and outdoor locations of the building, and the media server 200 is selected from among the touring guide markers 111 through the user control device 400 The spatial information 130 matching the touring guide marker 111 is detected from the database server 100 and displayed on the VR device 300, Serial numbers are assigned to the touring guide markers 111 according to a predetermined order in order to provide an optimal touring movement for a building, and the media server 200 generates an avatar moving on the 3D image 110. and a control function, wherein the avatar is generated according to the user image image of the camera module 540 transmitted through the control unit 550, and the touring guide marker 111 for indoor and outdoor tours of the building through the avatar), while providing a communication function between the avatars created for each user. The user control device 400 requests the media server 200 so that the list of buildings stored in the database server 100 is displayed on the display panel 516 of the studio structure 510, a building list request switch (410) and a touring service request switch 420 having a function of selecting a building for receiving a metaverse touring service from the list of buildings displayed on the display panel 516, Users who receive the touring service can walk and touring while simultaneously checking the 3D image and floor plan image of the building indoors and outdoors on the metaverse screen, and through the touring guide markers displayed on the metaverse screen, various indoor and outdoor scenes of the building Information on place/structure/facility is provided when necessary, As the touring guide markers are given a serial number that provides an optimal touring movement for the corresponding building, tour of the building can be performed while referring to the serial number, and the avatars of multiple users can have a conversation or have a meeting on the corresponding metaverse. Communication services are provided, such as using a communication A series of processes of checking a building list through the display panel of the studio-type VR support device at a predetermined location in the studio-type VR support device, at the same time selecting a building for touring from the building list and requesting a touring service This can be done routinely, A building indoor/outdoor touring guide mark system for the metaverse, characterized in that it can collectively perform touring services on the metaverse for various buildings.
delete</t>
  </si>
  <si>
    <t>Lee, Jong Hun</t>
  </si>
  <si>
    <t>G06Q05010000 | G02B02701000 | G06Q05014000 | G06T01340000 | G06T01900000 | H04N01333200</t>
  </si>
  <si>
    <t>KR102447171B1</t>
  </si>
  <si>
    <t>KR102447171 B1</t>
  </si>
  <si>
    <t>I-000230624257</t>
  </si>
  <si>
    <t>https://patentscout.innography.com/share/-t_UU4JyYexqn4zkG2jiLw%3D%3D</t>
  </si>
  <si>
    <t>2022-09-20-DECISION TO GRANT OR REGISTRATION OF PATENT RIGHT|2022-09-21-WRITTEN DECISION TO GRANT</t>
  </si>
  <si>
    <t>https://patentscout.innography.com/share/-t_UU4JyYexqn4zkG2jiLw%3D%3D/download</t>
  </si>
  <si>
    <t>https://v3.espacenet.com/publicationDetails/biblio?CC=KR&amp;NR=102447171B1&amp;KC=B1&amp;FT=D&amp;date=20220927&amp;DB=EPODOC&amp;locale=</t>
  </si>
  <si>
    <t>KR20102447171 B1</t>
  </si>
  <si>
    <t>1.  Information (130 , hereinafter referred to as “spatial information”) about the indoor and outdoor space of the building based on the 3D images 110 and floor plan images 120 of the corresponding building for each building and the 3D image 110 is provided. The database server 100 is stored:The media server 200 for displaying the 3D images 110 and the floor plan images 120 of the buildings selected from among the buildings of the database server 100 at the same time through the VR screen:A head mounted display (HMD) type VR device 300 that simultaneously displays the 3D image 110 and the floor plan image 120 of the building on a VR screen according to signals and data transmitted through the media server 200 ):A user control device 400 for transmitting a user's manipulation signal to the media server 200 : and a metaverse touring of a building for a user wearing the VR device 300 and a user wearing the VR device 300 and a studio-type VR support device 500 that provides additional functions for services, wherein the studio-type VR support device 500 includes a front panel 511 , a left panel 512 , a right panel 513 , and a ceiling a studio structure 510 in which only one rear surface is opened including a panel 514 and a floor panel 515 and a display panel 516 is installed on the inner surface of the front panel 511 ; A touring preparation detection unit 520 that is installed on the upper surface of the floor panel 515 in a recessed type for the floor panel 515 and detects that the user is positioned in the studio structure 510 through load sensing;; A fixing bracket 531 fixed to the ceiling panel 514 , a vertical drive module 532 that is coupled to the fixing bracket 531 and operates to adjust the length in the vertical direction, and a lower end of the vertical drive module 532 Communication for receiving an operation control signal for the device support module 533 and the vertical driving module 532 installed in a device for detachably coupling the VR device 300 from the outside and transmitting it to the vertical driving module 532 a VR device storage/retrieval unit 530 including a module 534 ; a camera module 540 installed in the studio structure 510 and operated according to a control signal from the outside to obtain a user's video image located in the touring preparation detection unit 520 ; It is installed in the studio structure 510 , and controls each of the communication module 534 and the camera module 540 according to the user's position detection signal in the studio structure 510 through the touring preparation detection unit 520.  and a controller 550 for outputting a signal and transmitting a user's video image transmitted from the camera module 540 through the communication module 534 to the media server 200 , the 3D image 110 is made in a form in which touring guide markers 111 are displayed at a plurality of locations among the indoor and outdoor locations of the building, and the media server 200 is selected from among the touring guide markers 111 through the user control device 400 The spatial information 130 matching the touring guide marker 111 is detected from the database server 100 and displayed on the VR device 300 , Serial numbers are assigned to the touring guide markers 111 according to a predetermined order in order to provide an optimal touring movement for a building, and the media server 200 generates an avatar moving on the 3D image 110.  and a control function, wherein the avatar is generated according to the user image image of the camera module 540 transmitted through the control unit 550 , and the touring guide marker 111 for indoor and outdoor tours of the building through the avatar), while providing a communication function between the avatars created for each user. The user control device 400 requests the media server 200 so that the list of buildings stored in the database server 100 is displayed on the display panel 516 of the studio structure 510 , a building list request switch (410 ) and a touring service request switch 420 having a function of selecting a building for receiving a metaverse touring service from the list of buildings displayed on the display panel 516 , Users who receive the touring service can walk and touring while simultaneously checking the 3D image and floor plan image of the building indoors and outdoors on the metaverse screen, and through the touring guide markers displayed on the metaverse screen, various indoor and outdoor scenes of the building Information on place/structure/facility is provided when necessary, As the touring guide markers are given a serial number that provides an optimal touring movement for the corresponding building, tour of the building can be performed while referring to the serial number, and the avatars of multiple users can have a conversation or have a meeting on the corresponding metaverse. Communication services are provided, such as using a communication A series of processes of checking a building list through the display panel of the studio-type VR support device at a predetermined location in the studio-type VR support device, at the same time selecting a building for touring from the building list and requesting a touring service This can be done routinely, A building indoor/outdoor touring guide mark system for the metaverse, characterized in that it can collectively perform touring services on the metaverse for various buildings.</t>
  </si>
  <si>
    <t>KR20090070067 A</t>
  </si>
  <si>
    <t>2022-10-12</t>
  </si>
  <si>
    <t>2042-03-21</t>
  </si>
  <si>
    <t>A system for providing a metaverse platform for controlling the arrangement position of a square according to an activity level according to the present invention includes a motion generator that generates user motion information according to a signal received through a user terminal possessed by a user and the user motion information a metaverse interface comprising: an avatar generator for generating an avatar that moves in association with the avatar; and a space generator for generating a virtual metaverse space in which at least one avatar is displayed and displaying it on the user terminal; Usage data including an area dividing module for dividing the metaverse space into a central square and at least one peripheral square located in the periphery of the central square and the number of visits and virtual asset transactions of users to each of the peripheral squares a data collection module for collecting an activation score calculation module for calculating an activation score for the surrounding squares based on use data of avatars located in each surrounding square; and a main server including a position control module for differentially controlling the.</t>
  </si>
  <si>
    <t>A metaverse platform providing system controlling the placement position of the square according to the activity level</t>
  </si>
  <si>
    <t>Infoin</t>
  </si>
  <si>
    <t>INFOIN</t>
  </si>
  <si>
    <t>KR20220034817A</t>
  </si>
  <si>
    <t>A system for providing a metaverse platform that controls the arrangement position of a square according to an activity level, comprising: a motion generator that generates user motion information according to a signal received through a user terminal possessed by a user; a metaverse interface comprising: an avatar generator for generating an avatar; and a space generator for generating a virtual metaverse space in which at least one avatar is displayed and displaying it on the user terminal;an area division module for dividing the metaverse space into a central square and at least one peripheral square located at the periphery of the central square; a data collection module for collecting usage data, comprising: an activation score calculation module for calculating activation points for the surrounding squares based on usage data of avatars located in each surrounding square; A main server including a location control module for differentially controlling the arrangement location of the surrounding square; the activation point calculation module includes a normalization value calculation unit for calculating a normalized value by normalizing the number of transactions of users located in the surrounding square and an activation score calculator configured to calculate an activation score for the surrounding square by reflecting the number of visits of users to the surrounding square in the normalized value, wherein the normalized value is A system for providing a metaverse platform, characterized in that it is calculated based on Equation 1 below. Equation 1,(Here, q(t) is the normalized value of the number of transactions in the t-th neighboring square, d(t) is the sum of the number of transactions of users corresponding to the avatars located in the t-th neighboring square, d(t) &gt; 0, Z is the meta Z&gt;0 as the total number of users using the bus space, d(all) is the total number of transactions of all users using the metaverse space, d(all)&gt;0)</t>
  </si>
  <si>
    <t>A system for providing a metaverse platform that controls the arrangement position of a square according to an activity level, comprising: a motion generator that generates user motion information according to a signal received through a user terminal possessed by a user; a metaverse interface comprising: an avatar generator for generating an avatar; and a space generator for generating a virtual metaverse space in which at least one avatar is displayed and displaying it on the user terminal;an area division module for dividing the metaverse space into a central square and at least one peripheral square located at the periphery of the central square; a data collection module for collecting usage data, comprising: an activation score calculation module for calculating activation points for the surrounding squares based on usage data of avatars located in each surrounding square; A main server including a location control module for differentially controlling the arrangement location of the surrounding square; the activation point calculation module includes a normalization value calculation unit for calculating a normalized value by normalizing the number of transactions of users located in the surrounding square and an activation score calculator configured to calculate an activation score for the surrounding square by reflecting the number of visits of users to the surrounding square in the normalized value, wherein the normalized value is A system for providing a metaverse platform, characterized in that it is calculated based on Equation 1 below. Equation 1,(Here, q(t) is the normalized value of the number of transactions in the t-th neighboring square, d(t) is the sum of the number of transactions of users corresponding to the avatars located in the t-th neighboring square, d(t) &gt; 0, Z is the meta Z&gt;0 as the total number of users using the bus space, d(all) is the total number of transactions of all users using the metaverse space, d(all)&gt;0)
The metaverse platform according to claim 1, wherein the position control module controls the arrangement position of the peripheral square so that the distance between the central square and the peripheral square is differentially controlled according to the elevation of the activation score. delivery system.
delete
delete
The method of claim 1, wherein the main server comprises an influence score setting module for differentially setting the influence score for each user, and the activation score calculator comprises:, a metaverse platform providing system, characterized in that the activation score for the surrounding square is calculated by reflecting the influence score of the user corresponding to the avatar located in the surrounding square.
The system of claim 5, wherein the activation score is calculated based on Equation 2 below. Equation 2,(Where I is the activation score, q(t) is the normalized value of the number of transactions in the t-th neighboring square, v(t) is the number of visits to the t-th neighboring square, and i(t) is the avatar located in the t-th neighboring square. The sum of the impact scores of the corresponding users, v is the visit count weight., i is the influence weight)
The position according to claim 6, wherein the activation score calculation module comprises a correction score calculation unit that calculates a correction score by reflecting a maximum value of an influence score of a user corresponding to an avatar located in a corresponding surrounding square in the activation score, The control module, characterized in that differentially control the distance from the central square to the arrangement position of the peripheral square according to the height of the correction score, the metaverse platform providing system.
The system of claim 7, wherein the correction score is calculated through Equation 3 below. Equation 3,(where R is the calibration score, I is the activation score,is the maximum value among the influence scores of users corresponding to the avatars located in the t-th neighboring square, T is the total number of avatars located in the t-th neighboring square, and i is the influence weight.)</t>
  </si>
  <si>
    <t>Park, Hee Soo</t>
  </si>
  <si>
    <t>G06Q05010000 | G06F00304815 | G06F00304840 | G06T01340000 | G06T01900000</t>
  </si>
  <si>
    <t>KR102453644B1</t>
  </si>
  <si>
    <t>KR102453644 B1</t>
  </si>
  <si>
    <t>I-000231194307</t>
  </si>
  <si>
    <t>20 years from 2022-03-21 (file date)</t>
  </si>
  <si>
    <t>https://patentscout.innography.com/share/_zFjvIXL_JD5Kk2u2Y3W-A%3D%3D</t>
  </si>
  <si>
    <t>2022-10-04-DECISION TO GRANT OR REGISTRATION OF PATENT RIGHT|2022-10-06-WRITTEN DECISION TO GRANT</t>
  </si>
  <si>
    <t>https://patentscout.innography.com/share/_zFjvIXL_JD5Kk2u2Y3W-A%3D%3D/download</t>
  </si>
  <si>
    <t>https://v3.espacenet.com/publicationDetails/biblio?CC=KR&amp;NR=102453644B1&amp;KC=B1&amp;FT=D&amp;date=20221012&amp;DB=EPODOC&amp;locale=</t>
  </si>
  <si>
    <t>KR20102453644 B1</t>
  </si>
  <si>
    <t>1.  A system for providing a metaverse platform that controls the arrangement position of a square according to an activity level, comprising: a motion generator that generates user motion information according to a signal received through a user terminal possessed by a user; a metaverse interface comprising: an avatar generator for generating an avatar; and a space generator for generating a virtual metaverse space in which at least one avatar is displayed and displaying it on the user terminal;an area division module for dividing the metaverse space into a central square and at least one peripheral square located at the periphery of the central square; a data collection module for collecting usage data, comprising: an activation score calculation module for calculating activation points for the surrounding squares based on usage data of avatars located in each surrounding square; A main server including a location control module for differentially controlling the arrangement location of the surrounding square; the activation point calculation module includes a normalization value calculation unit for calculating a normalized value by normalizing the number of transactions of users located in the surrounding square and an activation score calculator configured to calculate an activation score for the surrounding square by reflecting the number of visits of users to the surrounding square in the normalized value, wherein the normalized value is A system for providing a metaverse platform, characterized in that it is calculated based on Equation 1 below. Equation 1 ,(Here, q(t) is the normalized value of the number of transactions in the t-th neighboring square, d(t) is the sum of the number of transactions of users corresponding to the avatars located in the t-th neighboring square, d(t) &gt; 0 , Z is the meta Z&gt;0 as the total number of users using the bus space, d(all) is the total number of transactions of all users using the metaverse space, d(all)&gt;0 )</t>
  </si>
  <si>
    <t>JP2005514682 A | JP2008217255 A | JP2019087162 A | KR102343025 B1 | KR20120003588 A | KR20200131035 A</t>
  </si>
  <si>
    <t>2022-07-22</t>
  </si>
  <si>
    <t>2022-03-14</t>
  </si>
  <si>
    <t>2042-03-14</t>
  </si>
  <si>
    <t>An embodiment of the present invention discloses a method for a server to provide an art work exhibition and sale service in the metaverse.</t>
  </si>
  <si>
    <t>Method and server providing work of art exhibition and sale service in metaverse</t>
  </si>
  <si>
    <t>Ab Partners Co., Ltd.</t>
  </si>
  <si>
    <t>Firstcity Financial Corporation</t>
  </si>
  <si>
    <t>Partners</t>
  </si>
  <si>
    <t>KR20220031504A</t>
  </si>
  <si>
    <t>A server for providing an art exhibition and sale service in a metaverse, comprising: a transceiver; and a processor, the processor comprising:control the transceiver to receive, from a first user device of a first customer, an image of a metaverse artwork for display in a virtual image space in the metaverse, and a first based on blockchain technology Controls the transceiver to transmit NFT generation request information for generating a non-fungible token (NFT) indicating the copyright of the metaverse artwork image to a plurality of nodes in the blockchain platform, A smart contract for requesting a smart contract of the NFT generated by the plurality of nodes based on the NFT generation request information from the first user device of the first customer Control the transceiver to receive request information, and based on the smart contract request information,The transceiver is controlled to request the plurality of nodes to create a smart contract account for the execution of the smart contract, and the meta from a first avatar of the second customer located within the metaverse, controlled by a second user device of the second customer, placing the bus art work image and the smart contract request information; Controls the transceiver to receive acceptance information for the smart contract request information, and transmits a transaction ID (identification) related to the acceptance information from the second user device to the plurality of nodes Based on the conclusion of the smart contract between the first customer and the second customer in the smart contract account,Control to display smart contract contract information indicating that the smart contract has been concluded in the second area in the virtual image space, wherein the plurality of nodes are configured by an external user device or an external device using the first block chain platform. a server, wherein the smart contract request information is information requesting to trade the NFT with a predetermined quantity of cryptocurrency used in the second block chain platform, and the smart contract request information is Indicating, the quantity of the cryptocurrency to be transacted with the NFT is: the predetermined quantity at the initial time point when the smart contract request information is generated, and based on the lapse of a minute from the initial time point, b * (the predetermined quantity), wherein a is a natural number, and b is a real number between 0 and 1, the server.</t>
  </si>
  <si>
    <t>A server for providing an art exhibition and sale service in a metaverse, comprising: a transceiver; and a processor, the processor comprising:control the transceiver to receive, from a first user device of a first customer, an image of a metaverse artwork for display in a virtual image space in the metaverse, and a first based on blockchain technology Controls the transceiver to transmit NFT generation request information for generating a non-fungible token (NFT) indicating the copyright of the metaverse artwork image to a plurality of nodes in the blockchain platform, A smart contract for requesting a smart contract of the NFT generated by the plurality of nodes based on the NFT generation request information from the first user device of the first customer Control the transceiver to receive request information, and based on the smart contract request information,
The transceiver is controlled to request the plurality of nodes to create a smart contract account for the execution of the smart contract, and the meta from a first avatar of the second customer located within the metaverse, controlled by a second user device of the second customer, placing the bus art work image and the smart contract request information; Controls the transceiver to receive acceptance information for the smart contract request information, and transmits a transaction ID (identification) related to the acceptance information from the second user device to the plurality of nodes Based on the conclusion of the smart contract between the first customer and the second customer in the smart contract account,
Control to display smart contract contract information indicating that the smart contract has been concluded in the second area in the virtual image space, wherein the plurality of nodes are configured by an external user device or an external device using the first block chain platform. a server, wherein the smart contract request information is information requesting to trade the NFT with a predetermined quantity of cryptocurrency used in the second block chain platform, and the smart contract request information is Indicating, the quantity of the cryptocurrency to be transacted with the NFT is: the predetermined quantity at the initial time point when the smart contract request information is generated, and based on the lapse of a minute from the initial time point, b * (the predetermined quantity), wherein a is a natural number, and b is a real number between 0 and 1, the server.
delete
The method according to claim 1, wherein the amount of the cryptocurrency to be transacted with the NFT, indicated by the smart contract request information, is: the predetermined quantity at the initial time point when the smart contract request information is generated, and the initial time point Based on the elapse of c hours from the total number of avatars that have accessed artwork images) / {(c time)*(the total number of artwork images)}], wherein c is a natural number.
The method according to claim 3, wherein the second avatar is attached to the specific artwork image based on the fact that the second avatar of the specific customer is located within a preset threshold distance from the specific artwork image displayed in the virtual art exhibition hall. The server, which is determined to have been accessed.
The method of claim 1, wherein the ownership of the metaverse artwork image in the metaverse is transferred from the first customer to the second customer based on the conclusion of the smart contract, and the smart contract is signed, and the first avatar of the second customer in the metaverse transfers the metaverse artwork image to the second customer based on the transfer of the ownership of the metaverse artwork image in the metaverse to the second customer. a server controlled to enable transport within the virtual image space.</t>
  </si>
  <si>
    <t>Kim, Chan O</t>
  </si>
  <si>
    <t>G06Q03006000 | G06Q02006000 | G06Q05010000 | G06T01340000 | G06T01900000 | H04L06710970</t>
  </si>
  <si>
    <t>KR102423623B1</t>
  </si>
  <si>
    <t>KR102423623 B1</t>
  </si>
  <si>
    <t>I-000228315365</t>
  </si>
  <si>
    <t>20 years from 2022-03-14 (file date)</t>
  </si>
  <si>
    <t>https://patentscout.innography.com/share/n_g7RS5hJs-GnjYzRw44tQ%3D%3D</t>
  </si>
  <si>
    <t>2022-06-17-DECISION TO GRANT OR REGISTRATION OF PATENT RIGHT|2022-06-27-DIVISIONAL APPLICATION OF PATENT|2022-07-18-WRITTEN DECISION TO GRANT</t>
  </si>
  <si>
    <t>https://patentscout.innography.com/share/n_g7RS5hJs-GnjYzRw44tQ%3D%3D/download</t>
  </si>
  <si>
    <t>https://v3.espacenet.com/publicationDetails/biblio?CC=KR&amp;NR=102423623B1&amp;KC=B1&amp;FT=D&amp;date=20220722&amp;DB=EPODOC&amp;locale=</t>
  </si>
  <si>
    <t>KR20102423623 B1</t>
  </si>
  <si>
    <t>1.  A server for providing an art exhibition and sale service in a metaverse, comprising: a transceiver; and a processor, the processor comprising:control the transceiver to receive, from a first user device of a first customer, an image of a metaverse artwork for display in a virtual image space in the metaverse, and a first based on blockchain technology Controls the transceiver to transmit NFT generation request information for generating a non-fungible token (NFT) indicating the copyright of the metaverse artwork image to a plurality of nodes in the blockchain platform, A smart contract for requesting a smart contract of the NFT generated by the plurality of nodes based on the NFT generation request information from the first user device of the first customer Control the transceiver to receive request information, and based on the smart contract request information,
The transceiver is controlled to request the plurality of nodes to create a smart contract account for the execution of the smart contract, and the meta from a first avatar of the second customer located within the metaverse, controlled by a second user device of the second customer, placing the bus art work image and the smart contract request information; Controls the transceiver to receive acceptance information for the smart contract request information, and transmits a transaction ID (identification) related to the acceptance information from the second user device to the plurality of nodes Based on the conclusion of the smart contract between the first customer and the second customer in the smart contract account,
Control to display smart contract contract information indicating that the smart contract has been concluded in the second area in the virtual image space, wherein the plurality of nodes are configured by an external user device or an external device using the first block chain platform. a server, wherein the smart contract request information is information requesting to trade the NFT with a predetermined quantity of cryptocurrency used in the second block chain platform, and the smart contract request information is Indicating, the quantity of the cryptocurrency to be transacted with the NFT is: the predetermined quantity at the initial time point when the smart contract request information is generated, and based on the lapse of a minute from the initial time point, b * (the predetermined quantity), wherein a is a natural number, and b is a real number between 0 and 1 , the server.</t>
  </si>
  <si>
    <t>KR20040096799 A | KR20180077974 A | KR20200025285 A | KR20200046186 A</t>
  </si>
  <si>
    <t>An interaction support robot and a metaverse content creation system including the same are provided. An interaction support robot according to an embodiment is an interaction support robot that supports an actor&amp;#39;s interaction with a virtual object in a shooting space comprising: a plurality of robot arms having at least one joint axis; a plurality of end effectors installed at the front end of the robot arm; a communication unit for exchanging data with the metaverse content production server through a network; and a controller for controlling the plurality of robot arms and the plurality of end effectors wherein the controller interacts with the actors among the plurality of end effectors according to virtual object information provided from the metaverse content production server a first guide end effector and a first interaction position of the first guide end effector to be determined wherein the control unit is configured to position the first guide end effector and the first guide end effector at the first interaction position The robot arm in which the first guide end effector is installed is controlled.</t>
  </si>
  <si>
    <t>Interaction support robot and metaverse content creation system including the same</t>
  </si>
  <si>
    <t>KR20220080743A</t>
  </si>
  <si>
    <t>A metaverse content production system for generating digital content for motions of a virtual character and a first actor performing in a shooting space, wherein the metaverse content production system generates first image data of the first actor, a metaverse content that implements the virtual character using an interaction support robot that supports the acting of the first actor and motion data generated by a second actor that is in a space different from the shooting space and is different from the first actor A production server, wherein the interaction support robot comprises:a plurality of robot arms having at least one joint axis;a plurality of end effectors installed at the front end of the robot arm and including a first guide end effector, a second guide end effector, and a third guide end effector;a communication unit for exchanging data with the metaverse content production server through a network; and a controller configured to control the plurality of robot arms and the first to the third guide end effectors.a display unit for displaying information on a part of the virtual character indicated by the first guide end effector and providing information on a part of the virtual character to the first actor; and a camera that generates second image data different from the first image data by capturing an expression of the first actor, and provides the second image data to the metaverse content production server, wherein the metaverse content production server The server provides the second image data to the second actor so that the second actor can check the expression of the first actor, and the control unit provides information on the virtual character provided from the metaverse content production server. provides information on the part of the virtual character to the display unit according to determining the second guide end effector providing a sense of touch to the first performer, determining a second interaction position of the second guide end effector; determining the third guide end effector that provides the sense of smell to the first actor according to the information of the virtual character, determining a third interaction position of the third guide end effector, and the first guide end effector The first guide end effector and the robot arm installed with the first guide end effector are controlled to be positioned at a first interaction position, and the second guide end is positioned so that the second guide end effector is positioned at the second interaction position. Control the robot arm in which the effector and the second guide end effector are installed, and the robot arm in which the third guide end effector and the third guide end effector are installed so that the third guide end effector is positioned at the third interaction position Controlled, metaverse content creation system.</t>
  </si>
  <si>
    <t>A metaverse content production system for generating digital content for motions of a virtual character and a first actor performing in a shooting space, wherein the metaverse content production system generates first image data of the first actor, a metaverse content that implements the virtual character using an interaction support robot that supports the acting of the first actor and motion data generated by a second actor that is in a space different from the shooting space and is different from the first actor A production server, wherein the interaction support robot comprises:a plurality of robot arms having at least one joint axis;a plurality of end effectors installed at the front end of the robot arm and including a first guide end effector, a second guide end effector, and a third guide end effector;a communication unit for exchanging data with the metaverse content production server through a network; and a controller configured to control the plurality of robot arms and the first to the third guide end effectors.a display unit for displaying information on a part of the virtual character indicated by the first guide end effector and providing information on a part of the virtual character to the first actor; and a camera that generates second image data different from the first image data by capturing an expression of the first actor, and provides the second image data to the metaverse content production server, wherein the metaverse content production server The server provides the second image data to the second actor so that the second actor can check the expression of the first actor, and the control unit provides information on the virtual character provided from the metaverse content production server. provides information on the part of the virtual character to the display unit according to determining the second guide end effector providing a sense of touch to the first performer, determining a second interaction position of the second guide end effector; determining the third guide end effector that provides the sense of smell to the first actor according to the information of the virtual character, determining a third interaction position of the third guide end effector, and the first guide end effector The first guide end effector and the robot arm installed with the first guide end effector are controlled to be positioned at a first interaction position, and the second guide end is positioned so that the second guide end effector is positioned at the second interaction position. Control the robot arm in which the effector and the second guide end effector are installed, and the robot arm in which the third guide end effector and the third guide end effector are installed so that the third guide end effector is positioned at the third interaction position Controlled, metaverse content creation system.
According to claim 1, wherein the interaction support robot, Lidar for generating distance information by measuring the distance between the interaction support robot and the first actor; and a moving unit for moving the position of the interaction support robot, wherein the controller further controls the moving unit based on the distance information and the virtual character information.
The method according to claim 2, wherein the control unit provides a guide message for requesting a position movement to the first actor based on the distance information and the information of the virtual character to the display unit, and the display unit further displays the guide message, a metaverse content creation system.
The system of claim 1, wherein the plurality of end effectors are detachable from the plurality of robot arms.
The system of claim 1, wherein only the first actor, the plurality of end effectors, and a part of the robot arm enter the shooting space.
delete
delete
delete
delete
delete</t>
  </si>
  <si>
    <t>Y02P0090300000</t>
  </si>
  <si>
    <t>B25J01100000</t>
  </si>
  <si>
    <t>B25J01100000 | B25J00502000 | B25J00900000 | B25J00916000 | B25J01300000 | B25J01500000 | B25J01508000 | B25J01902000 | G06Q05010000 | G06T01340000 | G06T01900000</t>
  </si>
  <si>
    <t>414FOR106</t>
  </si>
  <si>
    <t>KR102443705B1</t>
  </si>
  <si>
    <t>KR102443705 B1</t>
  </si>
  <si>
    <t>I-000230849461</t>
  </si>
  <si>
    <t>https://patentscout.innography.com/share/P25lXqQt8vhI6RF-KTh_Qg%3D%3D</t>
  </si>
  <si>
    <t>https://patentscout.innography.com/share/P25lXqQt8vhI6RF-KTh_Qg%3D%3D/download</t>
  </si>
  <si>
    <t>https://v3.espacenet.com/publicationDetails/biblio?CC=KR&amp;NR=102443705B1&amp;KC=B1&amp;FT=D&amp;date=20220919&amp;DB=EPODOC&amp;locale=</t>
  </si>
  <si>
    <t>KR20102443705 B1</t>
  </si>
  <si>
    <t>1.  A metaverse content production system for generating digital content for motions of a virtual character and a first actor performing in a shooting space, wherein the metaverse content production system generates first image data of the first actor, a metaverse content that implements the virtual character using an interaction support robot that supports the acting of the first actor and motion data generated by a second actor that is in a space different from the shooting space and is different from the first actor A production server, wherein the interaction support robot comprises:a plurality of robot arms having at least one joint axis;a plurality of end effectors installed at the front end of the robot arm and including a first guide end effector, a second guide end effector, and a third guide end effector;a communication unit for exchanging data with the metaverse content production server through a network; and a controller configured to control the plurality of robot arms and the first to the third guide end effectors.a display unit for displaying information on a part of the virtual character indicated by the first guide end effector and providing information on a part of the virtual character to the first actor; and a camera that generates second image data different from the first image data by capturing an expression of the first actor, and provides the second image data to the metaverse content production server, wherein the metaverse content production server The server provides the second image data to the second actor so that the second actor can check the expression of the first actor, and the control unit provides information on the virtual character provided from the metaverse content production server. provides information on the part of the virtual character to the display unit according to determining the second guide end effector providing a sense of touch to the first performer, determining a second interaction position of the second guide end effector; determining the third guide end effector that provides the sense of smell to the first actor according to the information of the virtual character, determining a third interaction position of the third guide end effector, and the first guide end effector The first guide end effector and the robot arm installed with the first guide end effector are controlled to be positioned at a first interaction position, and the second guide end is positioned so that the second guide end effector is positioned at the second interaction position. Control the robot arm in which the effector and the second guide end effector are installed, and the robot arm in which the third guide end effector and the third guide end effector are installed so that the third guide end effector is positioned at the third interaction position Controlled, metaverse content creation system.</t>
  </si>
  <si>
    <t>2041-04-23</t>
  </si>
  <si>
    <t>The present invention comprises the steps of: generating by a processor a metaverse space for education based on the acquired image; providing by a processor a screen in the metaverse space; providing by a processor an object in the metaverse space; providing by the processor an avatar matching the user in the metaverse space; and providing by a processor educational content related to the object through the screen;</t>
  </si>
  <si>
    <t>KR20210052712A</t>
  </si>
  <si>
    <t>generating, by the processor, a metaverse space for education based on the acquired image;providing, by a processor, a screen in the metaverse space;providing, by a processor, an object in the metaverse space;providing, by the processor, an avatar matching the user in the metaverse space; and providing, by the processor, educational content related to the object through the screen.</t>
  </si>
  <si>
    <t>generating, by the processor, a metaverse space for education based on the acquired image;providing, by a processor, a screen in the metaverse space;providing, by a processor, an object in the metaverse space;providing, by the processor, an avatar matching the user in the metaverse space; and providing, by the processor, educational content related to the object through the screen.
The method of claim 1, further comprising: displaying, by a processor, a virtual controller in the metaverse space based on receiving a first user input; and performing, by the processor, an operation corresponding to the manipulation signal when the manipulation signal of the virtual controller is received.
The non-face-to-face education method of claim 2, further comprising, by the processor, hiding the virtual controller in the metaverse space based on receiving a second user input.
The method of claim 1, wherein the providing the object comprises: obtaining, by a processor, the education content information;extracting, by the processor, a word based on the educational content information;searching, by the processor, an object related to the word in a database; and providing, by a processor, the found object in the metaverse space.
The method of claim 1, wherein the providing of the avatar comprises: receiving, by a processor, a first signal generated according to a turn-on of a user device;generating, by a processor, the avatar based on the first signal;receiving, by the processor, a second signal generated according to a user's operation from the user device; and controlling, by a processor, the movement of the avatar in the metaverse space based on the second signal.</t>
  </si>
  <si>
    <t>G06Q05020000 | G06F01640000 | G06Q05010000 | G06T01340000</t>
  </si>
  <si>
    <t>I-000232498993</t>
  </si>
  <si>
    <t>20 years from 2021-04-23 (file date)</t>
  </si>
  <si>
    <t>https://patentscout.innography.com/share/jZVHAL5R--HFztyM8HrNjQ%3D%3D</t>
  </si>
  <si>
    <t>2022-09-08-DECISION TO REFUSE APPLICATION|2022-09-08-DECISION ON DISMISSAL OF AMENDMENT|2022-09-12-DIVISIONAL APPLICATION OF PATENT</t>
  </si>
  <si>
    <t>https://patentscout.innography.com/share/jZVHAL5R--HFztyM8HrNjQ%3D%3D/download</t>
  </si>
  <si>
    <t>https://v3.espacenet.com/publicationDetails/biblio?CC=KR&amp;NR=20220145997A&amp;KC=A&amp;FT=D&amp;date=20221101&amp;DB=EPODOC&amp;locale=</t>
  </si>
  <si>
    <t>1.  generating, by the processor, a metaverse space for education based on the acquired image;providing, by a processor, a screen in the metaverse space;providing, by a processor, an object in the metaverse space;providing, by the processor, an avatar matching the user in the metaverse space; and providing, by the processor, educational content related to the object through the screen.</t>
  </si>
  <si>
    <t>2042-03-02</t>
  </si>
  <si>
    <t>The invention claims a Metaverse universe digital management system comprising a bottom plate the top part plate is fixedly connected with a protective box the bottom of the inner cavity of the protective box is placed with a movable plate the left side of the top part of the movable plate is fixedly connected with a connecting rod the connecting rod is top part connected with a rack top part the right side of the inner cavity of the protective box is movably connected with a driving gear through a rotating shaft between the driving gear and the rack is passed through the tooth meshing the left side of the top part of the movable plate is fixedly connected with a liquid storage box. The invention is provided with a protective box a driving gear a rack servo motor connecting rod a connecting rod a movable plate a liquid storage tank a water pump a liquid outlet pipe a filter screen a cooling water channel a mounting plate a clamping block a sliding plate a fixing spring a slot an inserting rod. a mounting seat and a mounting box which solves the problem that the existing management system terminal machine has not ideal protection effect when using reduces the service life of the terminal machine so it is not convenient for people to use.</t>
  </si>
  <si>
    <t>Metaverse universe digital management system</t>
  </si>
  <si>
    <t>Zhang Jidong</t>
  </si>
  <si>
    <t>CN202210199742A</t>
  </si>
  <si>
    <t>1. A Metaverse universe digital management system, comprising a bottom plate (1), wherein the top part plate (1) is fixedly connected with a protective box (2), the bottom of the inner cavity of the protective box (2) is placed with a movable plate (17), the left side of the top part of the movable plate (17) is fixedly connected with a connecting rod (7), the top part (7) is fixedly connected with a rack (10), the right side top part the inner cavity of the protective box (2) is movably connected with a driving gear (12) through a rotating shaft, the driving gear (12) and the rack (10) through the tooth meshing the left side of the top part of the movable plate (17) is fixedly connected with a liquid storage box (9), the right side of the top part of the movable plate (17) is fixedly connected with a temperature guide plate (18), the top part of the temperature guide plate (18) is provided with a terminal machine main body (11).</t>
  </si>
  <si>
    <t>1. A Metaverse universe digital management system, comprising a bottom plate (1), wherein the top part plate (1) is fixedly connected with a protective box (2), the bottom of the inner cavity of the protective box (2) is placed with a movable plate (17), the left side of the top part of the movable plate (17) is fixedly connected with a connecting rod (7), the top part (7) is fixedly connected with a rack (10), the right side top part the inner cavity of the protective box (2) is movably connected with a driving gear (12) through a rotating shaft, the driving gear (12) and the rack (10) through the tooth meshing the left side of the top part of the movable plate (17) is fixedly connected with a liquid storage box (9), the right side of the top part of the movable plate (17) is fixedly connected with a temperature guide plate (18), the top part of the temperature guide plate (18) is provided with a terminal machine main body (11).2. The Metaverse universe digital management system according to claim 1, wherein the right top part of the front surface of the protective box (2) is fixedly connected with a servo motor (5), the output end of the servo motor (5) is fixedly connected with the positive surface of the driving gear (12), the right side of the protective box (2) is movably connected with a cover plate (6) through a hinge, the middle end of the front surface of the protective box (2) is embedded with a dustproof net (3), the back side of the dustproof net (3) is provided with a radiating fan (4).3. The Metaverse universe digital management system according to claim 1, wherein the bottom of the inner wall of the protective box (2) is provided with a transverse sliding groove (15), the inner cavity of the transverse sliding groove (15) is slidingly connected with a sliding block (13), the top part block (13) is fixedly connected to the left side of the bottom of the movable plate (17).4. The Metaverse universe digital management system according to claim 1, wherein the left side of the top part of the liquid storage tank (9) is connected with a liquid inlet pipe (8), the right side of the top part of the liquid storage tank (9) is fixedly connected with a water pump (20), the input end of the water pump (20) is communicate with a liquid outlet pipe (19), the left and right two sides of the inner wall of the liquid storage tank (9) are fixedly connected with a clamping seat (30), the inner cavity of the clamping seat (30) is clamped with a filter screen (14).5. The Metaverse universe digital management system according to claim 4, wherein the inner cavity of the temperature guide plate (18) is clamped with a cooling water channel (16), the water inlet end of the cooling water channel (16) communicate at the bottom of the right side of the inner cavity of the liquid storage tank (9), the water outlet end of the cooling water channel (16) communicate at the bottom of the liquid outlet pipe (19), the left side of the inner wall of the liquid storage tank (9) is fixedly connected with a refrigerating rod.6. The Metaverse universe digital management system according to claim 1, wherein the left and right two sides of the top part of the temperature guide plate (18) are fixedly connected with a mounting box (29), the left and right sides of the terminal machine main body (11) are fixedly connected with a mounting plate (21), the bottom of the mounting plate (21) is fixedly connected with a clamping block (22), the left and right two sides of the bottom of the inner cavity of the mounting box (29) are fixedly connected with a fixing spring (25), the fixing top part (25) is fixedly connected with a sliding plate (24), the top part plate (24) is fixedly connected with a mounting seat (28), the bottom of the clamping block (22) is clamped in the inner cavity of the mounting seat (28).7. The Metaverse universe digital management system according to claim 6, wherein the left and right two sides of the inner wall of the mounting box (29) are provided with a longitudinal sliding groove (23), the outer side of the sliding plate (24) is slidingly connected in the inner cavity of the longitudinal sliding groove (23), the middle end of the bottom of the sliding plate (24) is fixedly connected with an inserting rod (27), the bottom of the inner wall of the mounting box (29) is provided with a slot (26), the bottom of the inserting rod (27) is inserted in the inner cavity of the slot (26).</t>
  </si>
  <si>
    <t>Zhang, Jidong</t>
  </si>
  <si>
    <t>H05K0007201360</t>
  </si>
  <si>
    <t>H05K0007201360 | H05K0005021700 | H05K0007140000 | H05K0007202180 | H05K0007202720</t>
  </si>
  <si>
    <t>H05K00720000</t>
  </si>
  <si>
    <t>H05K00720000 | H05K00502000 | H05K00714000</t>
  </si>
  <si>
    <t>CN114745902A</t>
  </si>
  <si>
    <t>CN114745902 A</t>
  </si>
  <si>
    <t>I-000227627377</t>
  </si>
  <si>
    <t>20 years from 2022-03-02 (file date)</t>
  </si>
  <si>
    <t>https://patentscout.innography.com/share/Pqj3tueXKlj7mQBfJc4K6Q%3D%3D</t>
  </si>
  <si>
    <t>2022-07-12-PUBLICATION|2022-09-27-ENTRY INTO FORCE OF REQUEST FOR SUBSTANTIVE EXAMINATION</t>
  </si>
  <si>
    <t>https://patentscout.innography.com/share/Pqj3tueXKlj7mQBfJc4K6Q%3D%3D/download</t>
  </si>
  <si>
    <t>https://v3.espacenet.com/publicationDetails/biblio?CC=CN&amp;NR=114745902A&amp;KC=A&amp;FT=D&amp;date=20220712&amp;DB=EPODOC&amp;locale=</t>
  </si>
  <si>
    <t>1.  1.  A Metaverse universe digital management system, comprising a bottom plate (1 ), wherein the top part plate (1 ) is fixedly connected with a protective box (2 ), the bottom of the inner cavity of the protective box (2 ) is placed with a movable plate (17 ), the left side of the top part of the movable plate (17 ) is fixedly connected with a connecting rod (7 ), the top part (7 ) is fixedly connected with a rack (10 ), the right side top part the inner cavity of the protective box (2 ) is movably connected with a driving gear (12 ) through a rotating shaft, the driving gear (12 ) and the rack (10 ) through the tooth meshing the left side of the top part of the movable plate (17 ) is fixedly connected with a liquid storage box (9 ), the right side of the top part of the movable plate (17 ) is fixedly connected with a temperature guide plate (18 ), the top part of the temperature guide plate (18 ) is provided with a terminal machine main body (11 ).</t>
  </si>
  <si>
    <t>2022-05-01</t>
  </si>
  <si>
    <t>2031-11-02</t>
  </si>
  <si>
    <t>This creation provides a "Metaverse" community system that utilizes the same real world to expand multiple virtual worlds which is suitable for cross-border mutual visits. After positioning through mobile devices users can conduct online/offline interaction and virtual reality through actual movement. Integrate various community activities including: a virtual world management module and a user module. The virtual world management module utilizes the basic map information of the real world to expand a plurality of parallel virtual worlds; the user module is used for the user to establish a personal account and a virtual character bound to it and present it on the mobile device. In action the user can switch to any of the virtual worlds in parallel across the world and then use the virtual character to move synchronously with the user&amp;#39;s movement in the virtual worlds so as to perform location-appropriate social interaction between real and virtual points. group activities.</t>
  </si>
  <si>
    <t>A "metaverse" community system that uses the same real world to expand the site-appropriateness of multiple virtual worlds and allows cross-border mutual visits</t>
  </si>
  <si>
    <t>Granden Corp.</t>
  </si>
  <si>
    <t>Grandene Sa</t>
  </si>
  <si>
    <t>GRANDENE SA</t>
  </si>
  <si>
    <t>TW110212953U</t>
  </si>
  <si>
    <t>A "Metaverse" community system that utilizes the same real world to expand multiple virtual worlds, which is suitable for cross-border mutual visits, for at least one user to locate through a mobile device, and then use actual movement to conduct online/offline interaction and virtual reality. Integrate various community activities, including:        A virtual world management module that utilizes one of the basic map information of the real world to expand a plurality of virtual worlds, wherein the virtual worlds respectively have a customized world title and a corresponding virtual map, and each of the world titles stores Corresponding to a piece of environmental skin information and a plurality of point information, wherein the point information respectively has a geographic parameter; the virtual maps are combined with the basic map information, and the environmental skin information and the points corresponding to the world title generated from bit information; and        A user module for the user to establish a personal account and telecommunication connection with the virtual world management module, including:        an avatar creation module for creating an avatar, and the avatar and the personal account are bound to each other and can be presented on the mobile device; and        A login module for the user to log into the virtual world management module with the personal account, select one of the virtual worlds, and use the virtual character to use the virtual character in the virtual map of the selected virtual world. When the user moves to the position of the point information, the user can read or write and update the content of the point information, which is a suitable community activity;        Wherein, the user can switch to any of the virtual maps of the virtual world at will, and then carry out appropriate community activities with the point information corresponding to each of the virtual maps, and the point information can be obtained by the After the virtual map is moved, the user selects a position and creates it by himself; when the point information is created, the content of the point information is written and updated, or at least one task is generated around the point information or the task is completed Each time is recorded to form an event, and the event has a time parameter and the geographic parameter corresponding to the equivalent point information.</t>
  </si>
  <si>
    <t>A "Metaverse" community system that utilizes the same real world to expand multiple virtual worlds, which is suitable for cross-border mutual visits, for at least one user to locate through a mobile device, and then use actual movement to conduct online/offline interaction and virtual reality. Integrate various community activities, including:        A virtual world management module that utilizes one of the basic map information of the real world to expand a plurality of virtual worlds, wherein the virtual worlds respectively have a customized world title and a corresponding virtual map, and each of the world titles stores Corresponding to a piece of environmental skin information and a plurality of point information, wherein the point information respectively has a geographic parameter; the virtual maps are combined with the basic map information, and the environmental skin information and the points corresponding to the world title generated from bit information; and        A user module for the user to establish a personal account and telecommunication connection with the virtual world management module, including:        an avatar creation module for creating an avatar, and the avatar and the personal account are bound to each other and can be presented on the mobile device; and        A login module for the user to log into the virtual world management module with the personal account, select one of the virtual worlds, and use the virtual character to use the virtual character in the virtual map of the selected virtual world. When the user moves to the position of the point information, the user can read or write and update the content of the point information, which is a suitable community activity;        Wherein, the user can switch to any of the virtual maps of the virtual world at will, and then carry out appropriate community activities with the point information corresponding to each of the virtual maps, and the point information can be obtained by the After the virtual map is moved, the user selects a position and creates it by himself; when the point information is created, the content of the point information is written and updated, or at least one task is generated around the point information or the task is completed Each time is recorded to form an event, and the event has a time parameter and the geographic parameter corresponding to the equivalent point information.
According to the "Metaverse" community system that is suitable for cross-border mutual visits as described in claim 1, the point information in any one of the virtual maps can be shared with the other virtual maps. The location information of the geographic parameters is broadcast.
The "Metaverse" community system that is suitable for cross-border mutual visits according to claim 1, wherein an NFT digital commodity is correspondingly generated according to a single event or a combination of two or more events; and the virtual world management model The group also issues a cross-border currency, which can be circulated and used in the virtual world and used for the NFT digital commodity transaction; wherein, the cross-border currency can be recharged to obtain or complete the tasks generated around the point information. acquired later.
The "Metaverse" community system that is suitable for cross-border mutual visits as described in claim 3, wherein the point information in the virtual maps includes at least one NFT transaction merchant for the user to The NFT transaction merchant conducts the NFT digital commodity transaction.
The "Metaverse" community system that is suitable for cross-border mutual visits according to claim 4, wherein the NFT digital commodity is visible data that can be displayed through the mobile device.
The "Metaverse" community system that is suitable for cross-border mutual visits as described in claim 5, wherein the NFT digital product is the visibility data of the wearing accessories of the virtual character, and the NFT digital product can be worn with the NFT digital product. on the virtual character.
The "Metaverse" community system with suitable location and cross-border mutual access as described in claim 3, further includes that the user can execute a drone mode to move to a far place other than the user's location within a limited time. or the user can execute a patrol mode to move to a patrol area centered on the user's location; or another user executes a summon mode to move the summoned user to the position of the user performing the summoning mode, so that the user can participate in the task generated around the point information that is not at the position without actually moving.
The "Metaverse" community system that is suitable for cross-border mutual visits according to claim 7, wherein one of the virtual worlds is defined as a public world, and the virtual map of the public world is divided into a plurality of The land, the user can select an attribute to actually move, execute the drone mode, the parade mode, or receive another user to execute the summon mode to go to these land, and then according to the user has one The land occupation chips are used to occupy the land, and a reward value will be obtained after the occupation; if two or more users compete for the ownership of the land occupation, the users will be divided into groups according to their respective attributes, and then according to the classification of each group. The one with the larger total number of land occupation chips is determined to occupy the land plot to obtain the reward value, and the reward value shall be distributed according to the proportion of the land occupation chips invested by the users who occupy the land plot, wherein the reward value can be converted into the cross-border currency.
The "Metaverse" community system that is suitable for cross-border mutual visits as described in claim 8, wherein the virtual world management module further issues at least one digital coupon in each of the online virtual worlds, and the cross-border currency can be It is used to purchase the digital coupon, and the digital coupon can be used for transactions in offline physical stores.
The "Metaverse" community system with adaptability and cross-border mutual access according to claim 3, wherein the user obtains a contribution value after executing at least one event in each of the virtual worlds, and for two or more of the events The total amount of each contribution value of the user generates a ranking information.</t>
  </si>
  <si>
    <t>U</t>
  </si>
  <si>
    <t>Lai, Jin-de</t>
  </si>
  <si>
    <t>TW</t>
  </si>
  <si>
    <t>A63F0013000000</t>
  </si>
  <si>
    <t>A63F01335000</t>
  </si>
  <si>
    <t>A63F01335000 | A63F01333500 | A63F01379500</t>
  </si>
  <si>
    <t>TWM626295U</t>
  </si>
  <si>
    <t>$14561</t>
  </si>
  <si>
    <t>TWM626295 U</t>
  </si>
  <si>
    <t>I-000228310498</t>
  </si>
  <si>
    <t>10 years from 2021-11-02 (the day prior to the file date)</t>
  </si>
  <si>
    <t>https://patentscout.innography.com/share/BDzkZyCF8Jofc1lqDVavmQ%3D%3D</t>
  </si>
  <si>
    <t>https://patentscout.innography.com/share/BDzkZyCF8Jofc1lqDVavmQ%3D%3D/download</t>
  </si>
  <si>
    <t>https://v3.espacenet.com/publicationDetails/biblio?CC=TW&amp;NR=M626295U&amp;KC=U&amp;FT=D&amp;date=20220501&amp;DB=EPODOC&amp;locale=</t>
  </si>
  <si>
    <t>TWM0626295 U</t>
  </si>
  <si>
    <t>TW Grants</t>
  </si>
  <si>
    <t>1.  A "Metaverse" community system that utilizes the same real world to expand multiple virtual worlds, which is suitable for cross-border mutual visits, for at least one user to locate through a mobile device, and then use actual movement to conduct online/offline interaction and virtual reality. Integrate various community activities, including:        A virtual world management module that utilizes one of the basic map information of the real world to expand a plurality of virtual worlds, wherein the virtual worlds respectively have a customized world title and a corresponding virtual map, and each of the world titles stores Corresponding to a piece of environmental skin information and a plurality of point information, wherein the point information respectively has a geographic parameter; the virtual maps are combined with the basic map information, and the environmental skin information and the points corresponding to the world title generated from bit information; and        A user module for the user to establish a personal account and telecommunication connection with the virtual world management module, including:        an avatar creation module for creating an avatar, and the avatar and the personal account are bound to each other and can be presented on the mobile device; and        A login module for the user to log into the virtual world management module with the personal account, select one of the virtual worlds, and use the virtual character to use the virtual character in the virtual map of the selected virtual world. When the user moves to the position of the point information, the user can read or write and update the content of the point information, which is a suitable community activity;        Wherein, the user can switch to any of the virtual maps of the virtual world at will, and then carry out appropriate community activities with the point information corresponding to each of the virtual maps, and the point information can be obtained by the After the virtual map is moved, the user selects a position and creates it by himself; when the point information is created, the content of the point information is written and updated, or at least one task is generated around the point information or the task is completed Each time is recorded to form an event, and the event has a time parameter and the geographic parameter corresponding to the equivalent point information.</t>
  </si>
  <si>
    <t>KR100434657 B1 | KR102059904 B1 | KR102357429 B1</t>
  </si>
  <si>
    <t>2022-08-26</t>
  </si>
  <si>
    <t>2042-02-28</t>
  </si>
  <si>
    <t>The technical idea of the present disclosure relates to an apparatus and method for generating a metaverse space using a 3D triangular mesh-based CSG (constructive solid geometry) algorithm. A CSG wall object and a CSG floor object can be generated through the algorithm and a metaverse space can be created by installing door/window objects loaded from an object library. At this time since finishing treatments may be performed on the portions where the cubes corresponding to the wall surfaces are connected to each other and the space where the floor surface is not formed by the external and internal closed curves may be excluded a smoother connection part A metaverse space having.</t>
  </si>
  <si>
    <t>Techniques for generating metaverse spatial form using shape information</t>
  </si>
  <si>
    <t>spatial form|shape information|window object|wall surface|wall object|three-dimensional triangular|space forming|mesh based</t>
  </si>
  <si>
    <t>Korea Virtual Reality Inc.</t>
  </si>
  <si>
    <t>Korea Virtual Reality Inc</t>
  </si>
  <si>
    <t>KR20220026115A</t>
  </si>
  <si>
    <t>An apparatus for generating a three-dimensional triangular mesh-based metaverse space, comprising: a memory configured to store instructions; and by executing the instructions:By forming a space for installing a door and a space for installing a window in a plurality of cubes for walls to generate a plurality of space-forming cubes, and performing finishing treatments on parts where the plurality of space-forming cubes are connected to each other, a wall connection body is formed Create a CSG wall object by applying a three-dimensional triangular mesh-based CSG (constructive solid geometry) algorithm to the wall connector, and load a door object and a window object from the object library to install the door and the window Installed in each space, and based on the CSG algorithm, the CSG floor object is placed in the area between the outer closed curve corresponding to the boundary line of the CSG wall object and at least one inner closed curve corresponding to the boundary line of the space where the floor surface is not formed. a processor configured to generate; Including, a three-dimensional triangular mesh-based metaverse space generating device.</t>
  </si>
  <si>
    <t>An apparatus for generating a three-dimensional triangular mesh-based metaverse space, comprising: a memory configured to store instructions; and by executing the instructions:By forming a space for installing a door and a space for installing a window in a plurality of cubes for walls to generate a plurality of space-forming cubes, and performing finishing treatments on parts where the plurality of space-forming cubes are connected to each other, a wall connection body is formed Create a CSG wall object by applying a three-dimensional triangular mesh-based CSG (constructive solid geometry) algorithm to the wall connector, and load a door object and a window object from the object library to install the door and the window Installed in each space, and based on the CSG algorithm, the CSG floor object is placed in the area between the outer closed curve corresponding to the boundary line of the CSG wall object and at least one inner closed curve corresponding to the boundary line of the space where the floor surface is not formed. a processor configured to generate; Including, a three-dimensional triangular mesh-based metaverse space generating device.
The method according to claim 1, wherein the processor connects the points inputted in two dimensions by the user to set a start center point, an end center point, a wall thickness, and a wall height of each cube to generate the plurality of cubes for the wall, A three-dimensional triangular mesh-based metaverse space generating apparatus that generates the plurality of space-forming cubes by excluding a portion where the plurality of wall cubes and a space-forming 3D volume overlap from the plurality of wall cubes..
The method of claim 1, wherein the finishing treatments include a first finishing treatment connecting two cubes having the same height of the plurality of space-forming cubes and two cubes having different heights of the plurality of space-forming cubes. and a second finishing treatment for connecting, wherein the processor connects a portion where two inner walls intersect and a portion where two outer walls intersect for two cubes having the same height to perform the first finishing treatment 3D triangular mesh-based meta that performs the second finishing treatment by preferentially reflecting the first cube having the larger height among the two cubes having different heights over the second cube having the smaller height Bus space generator.
The method of claim 3, wherein the processor connects the second cube to the first cube in such a way as to remove a portion where the second cube overlaps the first cube while maintaining the wall thickness of the first cube. The apparatus for generating a metaverse space based on a three-dimensional triangular mesh that performs the second finishing process.
The apparatus of claim 1, wherein the processor is further configured to generate a CSG ceiling object corresponding to the CSG floor object based on the CSG algorithm.
The method according to claim 5, wherein the at least one internal closed curve corresponds to a boundary line of an internal facility occupying the entire height from the CSG floor surface object to the CSG ceiling surface object, or a boundary line of a stair-type floor surface having different heights. A 3D triangular mesh-based metaverse space creation device.
The apparatus of claim 1, wherein the processor is further configured to load a furniture object from the object library and install it on the CSG floor object.
The three-dimensional (3D) according to claim 7, wherein the processor installs the door object, the window object and the furniture object by adjusting the three-dimensional position, three-dimensional scale, and three-dimensional rotation of original objects stored in the object library. A device for generating a metaverse space based on a triangular mesh.
In the method for generating a metaverse space based on a three-dimensional triangular mesh, performed by a processor executing instructions stored in a memory, a space for installing a door and a space for installing a window are formed in a plurality of cubes for walls to form a plurality of spaces. generating them;generating a wall connection body by performing finishing treatments on portions where the plurality of space forming cubes are connected to each other;generating a CSG wall object by applying a 3D triangular mesh-based CSG (constructive solid geometry) algorithm to the wall connector;loading a door object and a window object from an object library and installing the door object and the window object respectively in the space for installing the door and the space for installing the window; and generating a CSG floor surface object in an area between an outer closed curve corresponding to the boundary line of the CSG wall object and at least one inner closed curve corresponding to the boundary line of a space in which a floor surface is not formed based on the CSG algorithm; A method of generating a metaverse space based on a three-dimensional triangular mesh, including.</t>
  </si>
  <si>
    <t>Park, Sung Soo|Ahn, Seung Ho</t>
  </si>
  <si>
    <t>G06T01920000 | G06T01720000 | G06T01900000</t>
  </si>
  <si>
    <t>KR102436877B1</t>
  </si>
  <si>
    <t>KR102436877 B1</t>
  </si>
  <si>
    <t>I-000229601033</t>
  </si>
  <si>
    <t>20 years from 2022-02-28 (file date)</t>
  </si>
  <si>
    <t>https://patentscout.innography.com/share/pSzG3yDMEsbslDSlwkRu7Q%3D%3D</t>
  </si>
  <si>
    <t>2022-08-18-DECISION TO GRANT OR REGISTRATION OF PATENT RIGHT|2022-08-23-WRITTEN DECISION TO GRANT</t>
  </si>
  <si>
    <t>https://patentscout.innography.com/share/pSzG3yDMEsbslDSlwkRu7Q%3D%3D/download</t>
  </si>
  <si>
    <t>https://v3.espacenet.com/publicationDetails/biblio?CC=KR&amp;NR=102436877B1&amp;KC=B1&amp;FT=D&amp;date=20220826&amp;DB=EPODOC&amp;locale=</t>
  </si>
  <si>
    <t>KR20102436877 B1</t>
  </si>
  <si>
    <t>1.  An apparatus for generating a three-dimensional triangular mesh-based metaverse space, comprising: a memory configured to store instructions; and by executing the instructions:By forming a space for installing a door and a space for installing a window in a plurality of cubes for walls to generate a plurality of space-forming cubes, and performing finishing treatments on parts where the plurality of space-forming cubes are connected to each other, a wall connection body is formed Create a CSG wall object by applying a three-dimensional triangular mesh-based CSG (constructive solid geometry) algorithm to the wall connector, and load a door object and a window object from the object library to install the door and the window Installed in each space, and based on the CSG algorithm, the CSG floor object is placed in the area between the outer closed curve corresponding to the boundary line of the CSG wall object and at least one inner closed curve corresponding to the boundary line of the space where the floor surface is not formed. a processor configured to generate; Including, a three-dimensional triangular mesh-based metaverse space generating device.</t>
  </si>
  <si>
    <t>9.  In the method for generating a metaverse space based on a three-dimensional triangular mesh, performed by a processor executing instructions stored in a memory, a space for installing a door and a space for installing a window are formed in a plurality of cubes for walls to form a plurality of spaces. generating them;generating a wall connection body by performing finishing treatments on portions where the plurality of space forming cubes are connected to each other;generating a CSG wall object by applying a 3D triangular mesh-based CSG (constructive solid geometry) algorithm to the wall connector;loading a door object and a window object from an object library and installing the door object and the window object respectively in the space for installing the door and the space for installing the window; and generating a CSG floor surface object in an area between an outer closed curve corresponding to the boundary line of the CSG wall object and at least one inner closed curve corresponding to the boundary line of a space in which a floor surface is not formed based on the CSG algorithm; A method of generating a metaverse space based on a three-dimensional triangular mesh, including.</t>
  </si>
  <si>
    <t>JP2004267433 A | KR102293301 B1 | KR102359253 B1 | KR102368929 B1 | KR20210080936 A | KR20210081939 A | KR20210086250 A</t>
  </si>
  <si>
    <t>2022-05-10</t>
  </si>
  <si>
    <t>2042-05-10</t>
  </si>
  <si>
    <t>The present invention relates to a communication system between users in a voice recognition-based XR content or metaverse content service a content providing module implementing the XR content or metaverse content service and at least two user devices participating in the content service A service providing unit providing an XR content or metaverse content service configured in the user device configured in the user device comprising: a voice input unit receiving user voice information; A voice recognition unit for recognizing the user&amp;#39;s voice information from the input unit as voice waveform or text data and a voice database storing voice waveform or text data for recognizing the user&amp;#39;s voice information input through the voice input unit in the voice recognition unit A text conversion unit for converting text data corresponding to the user&amp;#39;s voice information recognized by the speech recognition unit into text and the XR content or metaverse content provided by the service provider for the text converted by the text conversion unit are output It is configured to include; a chat module for outputting the content screen of the display device.</t>
  </si>
  <si>
    <t>Communication system between users in voice recognition-based xr content or metaverse content service</t>
  </si>
  <si>
    <t>Airpass</t>
  </si>
  <si>
    <t>KR20220057009A</t>
  </si>
  <si>
    <t>A service provider including a content providing module for implementing an XR content or metaverse content service and providing the XR content or metaverse content service, and at least participating in the XR content or metaverse content service provided from the service provider a voice input unit configured to include two or more user devices and configured in the user devices to receive user's voice information;a voice recognition unit configured to the service providing unit and configured to recognize the user's voice information as voice waveform or text data from the voice input unit;a voice database storing voice waveforms or text data for recognizing the user's voice information input through the voice input unit by the voice recognition unit;a text conversion unit for converting text data corresponding to the user's voice information recognized by the voice recognition unit into text; and a chatting module configured to output the text converted by the text converter to a content screen of a display device on which the XR content or metaverse content provided by the service provider is output, wherein the service provider includes the voice The voice recognition unit receives the user's voice through the input unit and recognizes it in the voice recognition unit based on the size of the voice, the accuracy of the voice, and the speed of the voice, and the search for the voice waveform or text input through the voice input unit is stored in the voice database If there is a character string matching the voice signal related to the voice waveform or text, the character string corresponding to the character signal is provided to the chatting module, and at the same time, the size and accuracy of the voice input from the user and the speed of the voice are displayed in the content (XR)., metaverse) is configured to be output together, and the service providing unit further includes a camera that captures user's motion information, and a motion database storing a motion signal corresponding to the motion information of the user photographed by the camera and a voice value corresponding to the voice signal according to the motion signal, wherein the motion information of the user is called from the motion database. A communication system between users in a voice recognition-based XR content or metaverse content service further comprising a motion recognition unit for outputting a voice value.</t>
  </si>
  <si>
    <t>A service provider including a content providing module for implementing an XR content or metaverse content service and providing the XR content or metaverse content service, and at least participating in the XR content or metaverse content service provided from the service provider a voice input unit configured to include two or more user devices and configured in the user devices to receive user's voice information;a voice recognition unit configured to the service providing unit and configured to recognize the user's voice information as voice waveform or text data from the voice input unit;a voice database storing voice waveforms or text data for recognizing the user's voice information input through the voice input unit by the voice recognition unit;a text conversion unit for converting text data corresponding to the user's voice information recognized by the voice recognition unit into text; and a chatting module configured to output the text converted by the text converter to a content screen of a display device on which the XR content or metaverse content provided by the service provider is output, wherein the service provider includes the voice The voice recognition unit receives the user's voice through the input unit and recognizes it in the voice recognition unit based on the size of the voice, the accuracy of the voice, and the speed of the voice, and the search for the voice waveform or text input through the voice input unit is stored in the voice database If there is a character string matching the voice signal related to the voice waveform or text, the character string corresponding to the character signal is provided to the chatting module, and at the same time, the size and accuracy of the voice input from the user and the speed of the voice are displayed in the content (XR)., metaverse) is configured to be output together, and the service providing unit further includes a camera that captures user's motion information, and a motion database storing a motion signal corresponding to the motion information of the user photographed by the camera and a voice value corresponding to the voice signal according to the motion signal, wherein the motion information of the user is called from the motion database. A communication system between users in a voice recognition-based XR content or metaverse content service further comprising a motion recognition unit for outputting a voice value.
delete
The method according to claim 1, wherein the service providing unit designates a voice value corresponding to an arbitrary voice signal as an arbitrary shortcut key in the voice recognition unit that receives the user's voice signal and outputs the voice signal as an output signal of the shortcut key. A voice recognition-based XR content or metaverse content service, characterized in that it further comprises a shortcut module for determining the designation of the shortcut key to be output, wherein the shortcut key is designated as an output signal corresponding to a direction, movement, action, and emoticon user-to-user communication system.
delete</t>
  </si>
  <si>
    <t>Lim, Seung Chan</t>
  </si>
  <si>
    <t>G10L0015220000</t>
  </si>
  <si>
    <t>G10L01522000</t>
  </si>
  <si>
    <t>G10L01522000 | G06F00301000 | G06Q05010000 | G06Q05030000 | G06T01900000 | G10L01514000 | G10L01526000</t>
  </si>
  <si>
    <t>KR102458703B1</t>
  </si>
  <si>
    <t>KR102458703 B1</t>
  </si>
  <si>
    <t>I-000231724042</t>
  </si>
  <si>
    <t>20 years from 2022-05-10 (file date)</t>
  </si>
  <si>
    <t>https://patentscout.innography.com/share/sJ1vcbFjfHutPlrs6K90ug%3D%3D</t>
  </si>
  <si>
    <t>2022-10-13-DECISION TO GRANT OR REGISTRATION OF PATENT RIGHT|2022-10-20-WRITTEN DECISION TO GRANT</t>
  </si>
  <si>
    <t>https://patentscout.innography.com/share/sJ1vcbFjfHutPlrs6K90ug%3D%3D/download</t>
  </si>
  <si>
    <t>https://v3.espacenet.com/publicationDetails/biblio?CC=KR&amp;NR=102458703B1&amp;KC=B1&amp;FT=D&amp;date=20221025&amp;DB=EPODOC&amp;locale=</t>
  </si>
  <si>
    <t>KR20102458703 B1</t>
  </si>
  <si>
    <t>1.  A service provider including a content providing module for implementing an XR content or metaverse content service and providing the XR content or metaverse content service, and at least participating in the XR content or metaverse content service provided from the service provider a voice input unit configured to include two or more user devices and configured in the user devices to receive user's voice information;a voice recognition unit configured to the service providing unit and configured to recognize the user's voice information as voice waveform or text data from the voice input unit;a voice database storing voice waveforms or text data for recognizing the user's voice information input through the voice input unit by the voice recognition unit;a text conversion unit for converting text data corresponding to the user's voice information recognized by the voice recognition unit into text; and a chatting module configured to output the text converted by the text converter to a content screen of a display device on which the XR content or metaverse content provided by the service provider is output, wherein the service provider includes the voice The voice recognition unit receives the user's voice through the input unit and recognizes it in the voice recognition unit based on the size of the voice, the accuracy of the voice, and the speed of the voice, and the search for the voice waveform or text input through the voice input unit is stored in the voice database If there is a character string matching the voice signal related to the voice waveform or text, the character string corresponding to the character signal is provided to the chatting module, and at the same time, the size and accuracy of the voice input from the user and the speed of the voice are displayed in the content (XR)., metaverse) is configured to be output together, and the service providing unit further includes a camera that captures user's motion information, and a motion database storing a motion signal corresponding to the motion information of the user photographed by the camera and a voice value corresponding to the voice signal according to the motion signal, wherein the motion information of the user is called from the motion database. A communication system between users in a voice recognition-based XR content or metaverse content service further comprising a motion recognition unit for outputting a voice value.</t>
  </si>
  <si>
    <t>KR20090053183 A</t>
  </si>
  <si>
    <t>2022-11-25</t>
  </si>
  <si>
    <t>2021-05-18</t>
  </si>
  <si>
    <t>2041-05-18</t>
  </si>
  <si>
    <t>A space mirroring system using a metaverse according to the present invention includes an online space linked to a metaverse server and accessed through a user terminal; and an offline space linked to the metaverse server and outputting the online space as it is The online space includes an avatar and the user creates and stores the online space by creating a user space online and outputs the stored online space as it is to the offline space. According to the present invention an online space and an offline space can be interlocked and interacted with each other. In addition the avatar in the online space and the user in the offline space can interact with each other in real time. In addition products purchased offline can be stored in the online space as well.</t>
  </si>
  <si>
    <t>Space mirroring system using metaverse</t>
  </si>
  <si>
    <t>Newto Co., Ltd.</t>
  </si>
  <si>
    <t>NEWTO CO., LTD.</t>
  </si>
  <si>
    <t>KR20210064285A</t>
  </si>
  <si>
    <t>An online space linked to a metaverse server and accessed through a user terminal; and an offline space linked to the metaverse server and outputting the online space as it is, wherein the online space includes an avatar, and the A space mirroring system using a metaverse in which a user creates and stores an online space by creating a user space online, and outputs the stored online space as it is to an offline space.</t>
  </si>
  <si>
    <t>An online space linked to a metaverse server and accessed through a user terminal; and an offline space linked to the metaverse server and outputting the online space as it is, wherein the online space includes an avatar, and the A space mirroring system using a metaverse in which a user creates and stores an online space by creating a user space online, and outputs the stored online space as it is to an offline space.
The space mirroring system using a metaverse according to claim 1, wherein the metaverse server includes an item DB for storing items decorating the user space; and a space DB for storing the generated online space.
The method of claim 2, wherein the off-line space comprises: an interlocking device recognizing a user and linking the stored online space;a touch panel disposed inside the offline space and activated when the online space is output to the offline space;A space mirroring system using a metaverse, including a motion sensor for sensing user motion in real time; and an output unit for outputting a stored online space.
The space mirroring system according to claim 3, wherein the metaverse server receives the motion information sensed in real time by the motion sensor and a motion interlocking unit that interlocks with an avatar in the online space.
The space mirroring system using the metaverse according to claim 4, wherein an item including an item code purchased offline is stored in an item DB, and the stored item is placed in an online space.</t>
  </si>
  <si>
    <t>Choi, Joo Young</t>
  </si>
  <si>
    <t>G06T0019003000</t>
  </si>
  <si>
    <t>G06T0019003000 | G06T0013400000 | G06T2207202210</t>
  </si>
  <si>
    <t>KR20220156352A</t>
  </si>
  <si>
    <t>KR20220156352 A</t>
  </si>
  <si>
    <t>I-000233023211</t>
  </si>
  <si>
    <t>20 years from 2021-05-18 (file date)</t>
  </si>
  <si>
    <t>https://patentscout.innography.com/share/5POUFrFR3zkdbBpWif_ogg%3D%3D</t>
  </si>
  <si>
    <t>https://patentscout.innography.com/share/5POUFrFR3zkdbBpWif_ogg%3D%3D/download</t>
  </si>
  <si>
    <t>https://v3.espacenet.com/publicationDetails/biblio?CC=KR&amp;NR=20220156352A&amp;KC=A&amp;FT=D&amp;date=20221125&amp;DB=EPODOC&amp;locale=</t>
  </si>
  <si>
    <t>1.  An online space linked to a metaverse server and accessed through a user terminal; and an offline space linked to the metaverse server and outputting the online space as it is, wherein the online space includes an avatar, and the A space mirroring system using a metaverse in which a user creates and stores an online space by creating a user space online, and outputs the stored online space as it is to an offline space.</t>
  </si>
  <si>
    <t>KR120004650 B1 | KR20150073403 A | KR20190078294 A | KR20200050281 A</t>
  </si>
  <si>
    <t>2021-12-27</t>
  </si>
  <si>
    <t>2021-09-13</t>
  </si>
  <si>
    <t>2041-09-13</t>
  </si>
  <si>
    <t>Disclosed are a method for assisting lectures using an avatar in metaverse and an apparatus therefor. According to an aspect of the present invention in a method for assisting a lecture using an avatar in a metaverse according to an aspect of the present invention an apparatus generates a first virtual lecture space during a lecture time of a first lecture and an instructor entering the virtual first lecture space; generating virtual avatars of learners and outputting them to the virtual first lecture space and when replay of pre-stored lecture contents is requested during the course of the first lecture the device determines the tracking target specified in the lecture contents and outputting a virtual assistant instructor avatar that recognizes voice and motion moves according to the recognized motion and outputs the recognized voice to the virtual first lecture space.</t>
  </si>
  <si>
    <t>Method for assisting lectures with avatar of metaverse space and apparatus thereof</t>
  </si>
  <si>
    <t>lecture|avatar|recognizing voice|instructor</t>
  </si>
  <si>
    <t>Industrymedia Corp.</t>
  </si>
  <si>
    <t>INDUSTRYMEDIA CORP.</t>
  </si>
  <si>
    <t>KR20210121723A</t>
  </si>
  <si>
    <t>The device generates a virtual first lecture space during the lecture time of the first lecture, generates virtual avatars of instructors and learners entering the virtual first lecture space, respectively, and outputs the generated virtual avatars to the virtual first lecture space step; and when replay of pre-stored lecture content is requested during the course of the first lecture, the device recognizes the voice and motion of a tracking target specified in the lecture content, moves according to the recognized motion, and outputs the recognized voice and outputting the outputting virtual assistant instructor avatar to the first virtual lecture space.</t>
  </si>
  <si>
    <t>The device generates a virtual first lecture space during the lecture time of the first lecture, generates virtual avatars of instructors and learners entering the virtual first lecture space, respectively, and outputs the generated virtual avatars to the virtual first lecture space step; and when replay of pre-stored lecture content is requested during the course of the first lecture, the device recognizes the voice and motion of a tracking target specified in the lecture content, moves according to the recognized motion, and outputs the recognized voice and outputting the outputting virtual assistant instructor avatar to the first virtual lecture space.
According to claim 1, before the step of outputting to the virtual first lecture space, select at least one lecture content necessary for the first lecture from among the lecture contents stored in the database, and to track from the selected lecture contents Designating a tracking target to be tracked, and learning the designated tracking target using machine learning, the method of assisting a lecture using an avatar in metaverse, characterized in that it further comprises the step of:
The method of claim 1, wherein in the step of outputting the virtual assistant instructor avatar to the virtual first lecture space, the device generates the virtual assistant instructor avatar when reproduction of the lecture content is requested, and When the appearance of the specified tracking target is detected during content playback, the voice and motion of the tracking target are recognized, the recognized voice is converted into the voice of the virtual assistant instructor avatar, and the virtual assistant according to the motion of the tracking target A teaching aid method using an avatar in metaverse, characterized in that the movement of the instructor's avatar is controlled.
The method according to claim 1, wherein, when reproduction of pre-stored lecture content is requested during the course of the first lecture, when reproduction of lecture content selected by the instructor is requested for auxiliary explanation of the first lecture, or when the learner The method of assisting a lecture using an avatar in metaverse, comprising: receiving a question from students and requesting reproduction of lecture content selected by the instructor as an answer to the question.
5. The method of claim 4, wherein when a question is received from the learners and reproduction of the lecture content selected by the instructor is requested as an answer to the question, the device analyzes the question to extract meaningful keywords, Extracting at least one lecture content list from among the lecture contents stored in the database based on the meaningful keyword, providing the extracted lecture content list to the instructor, and requesting reproduction of the lecture content selected by the instructor A teaching aid method using an avatar in the metaverse, characterized in that
The method according to claim 1, wherein, after the end of the first lecture, when a question is received from a first learner among the learners, the device analyzes the question and extracts a meaningful keyword, and stores it in a database based on the meaningful keyword. Extracts at least one lecture content list from among the stored lecture contents, provides the extracted lecture contents list to the first learner, and when the first lecture content is selected by the first learner from the lecture content list, the By recognizing the voice and motion of the tracking target specified in the first lecture content, outputting the recognized voice, and outputting a virtual assistant instructor avatar moving according to the recognized motion to the virtual first lecture space of the first learner, and allowing the virtual assistant instructor avatar to explain the answer to the question.
A metaverse management unit that creates a virtual first lecture space during the lecture time of the first lecture, generates virtual avatars of instructors and learners entering the virtual first lecture space, respectively, and outputs them in the virtual first lecture space ; and when replay of pre-stored lecture content is requested during the course of the first lecture, a virtual machine for recognizing the voice and motion of a tracking target specified in the lecture content, moving according to the recognized motion, and outputting the recognized voice and a lecture content reproduction processing unit for outputting the auxiliary lecturer avatar to the virtual first lecture space.
The method of claim 7, wherein the lecture contents are stored in a database; and selecting at least one lecture content necessary for the first lecture from among the lecture contents stored in the database, designating a tracking target to be tracked from the selected lecture contents, and learning the specified tracking target using machine learning A teaching aid device using an avatar in the metaverse, characterized in that it further comprises a tracking target setting unit.
8. The method of claim 7, wherein the lecture content reproduction processing unit generates the virtual assistant instructor avatar when the lecture content needs to be reproduced, and when an appearance of the specified tracking target is detected during reproduction of the lecture contents, Recognizing voice and motion, converting the recognized voice into the voice of the virtual assistant instructor avatar, and controlling the movement of the virtual assistant instructor avatar according to the motion of the tracking target. teaching aids.
8. The method of claim 7, wherein, when reproduction of pre-stored lecture content is requested during the course of the first lecture, when reproduction of lecture content selected by the instructor is requested for auxiliary explanation of the first lecture, or when the learner and receiving a question from students and requesting reproduction of lecture content selected by the instructor as an answer to the question.
11. The method of claim 10, wherein when receiving a question from the learners and requesting reproduction of the lecture content selected by the instructor as an answer to the question, the lecture content reproduction processing unit analyzes the question and provides meaningful keywords extracts, extracts at least one lecture content list from among the lecture contents stored in the database based on the meaningful keyword, and provides the extracted lecture content list to the instructor, A teaching aid device using an avatar in the metaverse, characterized in that it requests playback.
8. The method of claim 7, wherein, after the first lecture, when a question is received from a first learner among the learners, the device analyzes the question to extract meaningful keywords, and stores the meaningful keywords in a database based on the meaningful keywords. Extracts at least one lecture content list from among the stored lecture contents, provides the extracted lecture contents list to the first learner, and when the first lecture content is selected by the first learner from the lecture content list, the By recognizing the voice and motion of the tracking target specified in the first lecture content, outputting the recognized voice, and outputting a virtual assistant instructor avatar moving according to the recognized motion to the virtual first lecture space of the first learner, The teaching assistant device using the avatar in the metaverse further comprises a personal supplementary learning processing unit for allowing the virtual assistant instructor avatar to explain the answer to the question.</t>
  </si>
  <si>
    <t>Kum, Man Kang</t>
  </si>
  <si>
    <t>G06Q05020000 | G06F00316000 | G06F01633000 | G06F01690380 | G06N02000000 | G06Q05010000 | G06T01340000 | G06T01900000 | G06T01920000 | G10L01702000 | G10L01704000</t>
  </si>
  <si>
    <t>KR102341752B1</t>
  </si>
  <si>
    <t>KR102341752 B1</t>
  </si>
  <si>
    <t>I-000219858057</t>
  </si>
  <si>
    <t>20 years from 2021-09-13 (file date)</t>
  </si>
  <si>
    <t>https://patentscout.innography.com/share/FPC6LP-WvsvlLl2DKX_fvQ%3D%3D</t>
  </si>
  <si>
    <t>2021-12-13-DECISION TO GRANT OR REGISTRATION OF PATENT RIGHT|2021-12-16-WRITTEN DECISION TO GRANT</t>
  </si>
  <si>
    <t>https://patentscout.innography.com/share/FPC6LP-WvsvlLl2DKX_fvQ%3D%3D/download</t>
  </si>
  <si>
    <t>https://v3.espacenet.com/publicationDetails/biblio?CC=KR&amp;NR=102341752B1&amp;KC=B1&amp;FT=D&amp;date=20211227&amp;DB=EPODOC&amp;locale=</t>
  </si>
  <si>
    <t>KR20102341752 B1</t>
  </si>
  <si>
    <t>1.  The device generates a virtual first lecture space during the lecture time of the first lecture, generates virtual avatars of instructors and learners entering the virtual first lecture space, respectively, and outputs the generated virtual avatars to the virtual first lecture space step; and when replay of pre-stored lecture content is requested during the course of the first lecture, the device recognizes the voice and motion of a tracking target specified in the lecture content, moves according to the recognized motion, and outputs the recognized voice and outputting the outputting virtual assistant instructor avatar to the first virtual lecture space.</t>
  </si>
  <si>
    <t>7.  A metaverse management unit that creates a virtual first lecture space during the lecture time of the first lecture, generates virtual avatars of instructors and learners entering the virtual first lecture space, respectively, and outputs them in the virtual first lecture space ; and when replay of pre-stored lecture content is requested during the course of the first lecture, a virtual machine for recognizing the voice and motion of a tracking target specified in the lecture content, moving according to the recognized motion, and outputting the recognized voice and a lecture content reproduction processing unit for outputting the auxiliary lecturer avatar to the virtual first lecture space.</t>
  </si>
  <si>
    <t>JP2001160154 A | JP2013078105 A | KR20180062045 A | KR20190062045 A | KR20210085789 A</t>
  </si>
  <si>
    <t>The present invention relates to a display control method in a metaverse-based office environment and more particularly in constructing an office environment in a three-dimensional virtual space based on the metaverse a participant (user) corresponding to a character connected to the office environment. ) was filmed in real time and overlapped with a virtual image so that the social ties in the virtual space pursued by the metaverse could be greatly improved. In particular the present invention improves the immersion of users participating in the conversation by adjusting the transparency of the display to emphasize a specific object (shared screen) in the virtual space necessary for the conversation of the conversation group and the user image of the user who is currently talking It can greatly improve the quality of communication. In addition the present invention receives the image data of the video camera photographed at a remote point and places it in a two-dimensional shape at the position of the character&amp;#39;s head in the three-dimensional virtual space and replaces the character&amp;#39;s face with the user&amp;#39;s image data taken in real time It is not limited to text-based conversations and it is possible to simultaneously deliver additional information based on the other person&amp;#39;s facial expressions or actions. Accordingly reliability and competitiveness can be improved in the metaverse field virtual reality field and virtual office field as well as similar or related fields.</t>
  </si>
  <si>
    <t>Display control method in metaverse based office environment, storage medium in which a program executing the same, and display control system including the same</t>
  </si>
  <si>
    <t>KR20210189945A</t>
  </si>
  <si>
    <t>Check the camera viewpoint of the target user among users who have accessed the virtual space set in the metaverse-based office environment, and include at least some of the users included in the virtual image of the camera viewpoint as a conversation group, and include it in the conversation group a user image matching step of matching the user image captured by the group user in real time to the avatar of each group user; and adjusting and highlighting objects determined to be important according to the grouping purpose of the corresponding conversation group among the objects including the shared screen included in the virtual image, even if at least one of the camera viewpoint and the position of the avatar changes, the size of the highlighted object or A display control method in a metaverse-based office environment comprising; an object highlighting step of maintaining a fixed shape.</t>
  </si>
  <si>
    <t>Check the camera viewpoint of the target user among users who have accessed the virtual space set in the metaverse-based office environment, and include at least some of the users included in the virtual image of the camera viewpoint as a conversation group, and include it in the conversation group a user image matching step of matching the user image captured by the group user in real time to the avatar of each group user; and adjusting and highlighting objects determined to be important according to the grouping purpose of the corresponding conversation group among the objects including the shared screen included in the virtual image, even if at least one of the camera viewpoint and the position of the avatar changes, the size of the highlighted object or A display control method in a metaverse-based office environment comprising; an object highlighting step of maintaining a fixed shape.
The display control method according to claim 1, wherein in the step of emphasizing the object, the object is processed clearly and the user image is processed as translucent.
[3] The method of claim 2, wherein, in the step of emphasizing the object, the size of the user image is reduced to a set size.
[Claim 3] The method of claim 2, wherein in the step of highlighting the object, the avatar is treated as translucent.
The method of claim 1, wherein when the voice of the group user included in the chat group is detected, the user image emphasizing step of emphasizing the user image of the corresponding group user;
[Claim 6] The method of claim 5, wherein, in the step of emphasizing the user image, the user image of the corresponding group user is emphasized when the voice is greater than a set reference size.
The method of claim 6, wherein in the emphasizing user image, if the reception of the video of the group user whose voice is sensed is maintained, it is determined that the group user continues the conversation, and the user image of the group user is emphasized. A display control method in a metaverse-based office environment.
[Claim 6] The metaverse-based office of claim 5, wherein, in the step of emphasizing the user image, when the object and at least a part of the user image overlap, the user image of the user currently having a conversation is arranged in a higher layer than the object. How to control the display in the environment.
The method of claim 1 , wherein the matching of the user image comprises: confirming the two-dimensional coordinates on which the head position of the corresponding avatar is projected from the virtual image of the camera coordinate system on which the virtual space of the three-dimensional coordinate system is projected; and a user image overlapping step of overlapping the corresponding user image on the two-dimensional coordinates of the virtual image.
10. The method of claim 9, wherein the step of checking the target coordinates comprises: checking the location of the avatar in a three-dimensional virtual space;a relative position checking step of calculating the relative position of the head in the skeletal structure of the corresponding avatar;a head position checking step of calculating the 3D coordinates of the head by applying the relative position to the 3D coordinates of the corresponding avatar; and a projection coordinate checking step of checking two-dimensional coordinates on which the head position of the corresponding avatar is projected.
A storage medium in which a program for executing the display control method in the metaverse-based office environment of any one of claims 1 to 10 is recorded.
A display control system in a metaverse-based office environment including the storage medium of claim 11 .</t>
  </si>
  <si>
    <t>G06Q05010000 | G06Q05030000 | G06T01920000</t>
  </si>
  <si>
    <t>KR102419932B1</t>
  </si>
  <si>
    <t>KR102419932 B1</t>
  </si>
  <si>
    <t>I-000227796335</t>
  </si>
  <si>
    <t>https://patentscout.innography.com/share/vOicyrMH4cDXg6LdWCdJNw%3D%3D</t>
  </si>
  <si>
    <t>2022-07-01-DECISION TO GRANT OR REGISTRATION OF PATENT RIGHT|2022-07-07-WRITTEN DECISION TO GRANT</t>
  </si>
  <si>
    <t>https://patentscout.innography.com/share/vOicyrMH4cDXg6LdWCdJNw%3D%3D/download</t>
  </si>
  <si>
    <t>https://v3.espacenet.com/publicationDetails/biblio?CC=KR&amp;NR=102419932B1&amp;KC=B1&amp;FT=D&amp;date=20220713&amp;DB=EPODOC&amp;locale=</t>
  </si>
  <si>
    <t>KR20102419932 B1</t>
  </si>
  <si>
    <t>1.  Check the camera viewpoint of the target user among users who have accessed the virtual space set in the metaverse-based office environment, and include at least some of the users included in the virtual image of the camera viewpoint as a conversation group, and include it in the conversation group a user image matching step of matching the user image captured by the group user in real time to the avatar of each group user; and adjusting and highlighting objects determined to be important according to the grouping purpose of the corresponding conversation group among the objects including the shared screen included in the virtual image, even if at least one of the camera viewpoint and the position of the avatar changes, the size of the highlighted object or A display control method in a metaverse-based office environment comprising; an object highlighting step of maintaining a fixed shape.</t>
  </si>
  <si>
    <t>2022-08-25</t>
  </si>
  <si>
    <t>2022-08-08</t>
  </si>
  <si>
    <t>2042-08-08</t>
  </si>
  <si>
    <t>Embodiments provide a livestock distribution system and method based on a neural network and a metaverse platform for distribution of livestock products. A neural network-based livestock distribution system according to an embodiment receives a plurality of order information from a first client and analyzes the plurality of order information wherein the plurality of order information includes first order information and second order information. Including wherein the plurality of order information is an order analysis module including information corresponding to each order time order product order quantity and order price; processor; a notification module generating a notification signal under the control of the processor and transmitting the notification signal to the first client; and a database for storing the first order information and the second order information wherein the order analysis module receives the first order information from the first client at a first time point and the first time point At a second time subsequent to receiving the second order information from the first client and analyzing the order possibility and order expected timing of the first client based on the first order information and the second order information Generates first order prediction information including a result and stores the first order prediction information in the database wherein the first order prediction information has a third time point subsequent to the second time point as a start time and It includes a first order prediction section having a fourth time point subsequent to the third time point as an end time and determines whether to generate the notification signal based on whether the third order information is received from the first client in the first order prediction section can</t>
  </si>
  <si>
    <t>Livestock product distribution system and method based on neural network and livestock product distribution metaverse platform</t>
  </si>
  <si>
    <t>product distribution|livestock products|product distribution system|order information|time point|signal|object data</t>
  </si>
  <si>
    <t>Global Meat Platform Co., Ltd.</t>
  </si>
  <si>
    <t>GLOBAL MEAT PLATFORM CO., LTD.</t>
  </si>
  <si>
    <t>KR20220098470A</t>
  </si>
  <si>
    <t>A livestock product distribution metaverse platform, the platform comprising: a server; and a metaverse implementation device, wherein the server includes: a processor;Receive a plurality of order information from a first client, and analyze the plurality of order information, wherein the plurality of order information includes first order information and second order information, and the first order information is a first order time, an order analysis module including a first order product, a first order quantity, and a first order price;a notification module generating a notification signal under the control of the processor and transmitting the notification signal to the first client; a database for storing the first order information and the second order information; and an object data collection module for collecting object data including an image, livestock information, livestock transaction information, etc. about livestock products, wherein the order analysis module includes, the first order information from the first client at a first time receiving the second order information from the first client at a second time point subsequent to the first time point, and based on the first order information and the second order information, the order pattern of the first client A first order prediction information including analysis information about and a first order prediction section to determine whether to generate the notification signal based on whether third order information is received from the first client in the first order prediction section, and the metaverse implementation device includes: Livestock product distribution metaverse platform comprising an augmented reality implementation module for outputting an AR (augmented reality) image on the livestock product distribution platform based on the object data provided from the object data collection module.</t>
  </si>
  <si>
    <t>Park, Young Il</t>
  </si>
  <si>
    <t>G06Q0010087000</t>
  </si>
  <si>
    <t>G06Q0010087000 | G06F0021640000 | G06N0003080000 | G06N0020000000 | G06Q0010063150 | G06Q0010063750 | G06Q0030020200 | G06Q0030063300 | G06T0019006000 | H04L0009500000 | H04L0067109700</t>
  </si>
  <si>
    <t>G06Q01008000 | G06F02164000 | G06N00308000 | G06N02000000 | G06Q01006000 | G06Q03002000 | G06Q03006000 | G06T01900000 | H04L00900000 | H04L06710970</t>
  </si>
  <si>
    <t>KR20220118363A|KR20220118364A</t>
  </si>
  <si>
    <t>KR20220118363 A | KR20220118364 A | KR102437103 B1</t>
  </si>
  <si>
    <t>I-000229597031</t>
  </si>
  <si>
    <t>20 years from 2022-08-08 (file date)</t>
  </si>
  <si>
    <t>https://patentscout.innography.com/share/mVUWXCNypTFFZhtRU1KXOQ%3D%3D</t>
  </si>
  <si>
    <t>2022-08-08-DIVISIONAL APPLICATION OF PATENT</t>
  </si>
  <si>
    <t>https://patentscout.innography.com/share/mVUWXCNypTFFZhtRU1KXOQ%3D%3D/download</t>
  </si>
  <si>
    <t>https://v3.espacenet.com/publicationDetails/biblio?CC=KR&amp;NR=20220118364A&amp;KC=A&amp;FT=D&amp;date=20220825&amp;DB=EPODOC&amp;locale=</t>
  </si>
  <si>
    <t>KR20220118364 A</t>
  </si>
  <si>
    <t>KR20220118363 A</t>
  </si>
  <si>
    <t>KR20102437103 B1</t>
  </si>
  <si>
    <t>1.  A livestock product distribution metaverse platform, the platform comprising: a server; and a metaverse implementation device, wherein the server includes: a processor;Receive a plurality of order information from a first client, and analyze the plurality of order information, wherein the plurality of order information includes first order information and second order information, and the first order information is a first order time, an order analysis module including a first order product, a first order quantity, and a first order price;a notification module generating a notification signal under the control of the processor and transmitting the notification signal to the first client; a database for storing the first order information and the second order information; and an object data collection module for collecting object data including an image, livestock information, livestock transaction information, etc. about livestock products, wherein the order analysis module includes, the first order information from the first client at a first time receiving the second order information from the first client at a second time point subsequent to the first time point, and based on the first order information and the second order information, the order pattern of the first client A first order prediction information including analysis information about and a first order prediction section to determine whether to generate the notification signal based on whether third order information is received from the first client in the first order prediction section, and the metaverse implementation device includes: Livestock product distribution metaverse platform comprising an augmented reality implementation module for outputting an AR (augmented reality) image on the livestock product distribution platform based on the object data provided from the object data collection module.</t>
  </si>
  <si>
    <t>KR20200009542 A</t>
  </si>
  <si>
    <t>2022-08-30</t>
  </si>
  <si>
    <t>KR20220031665A</t>
  </si>
  <si>
    <t>Receive a plurality of order information from a first client, and analyze the plurality of order information, wherein the plurality of order information includes first order information and second order information, and the plurality of order information is each order time point; an order analysis module including information corresponding to an order product, an order quantity, and an order price;Processor;a notification module generating a notification signal under the control of the processor and transmitting the notification signal to the first client; and a database for storing the first order information and the second order information, wherein the order analysis module receives the first order information from the first client at a first time point, and the first time point At a second time point subsequent to, receiving the second order information from the first client, and analyzing the order possibility and order expected timing of the first client based on the first order information and the second order information Generates first order prediction information including a result, and stores the first order prediction information in the database, wherein the first order prediction information has a third time point subsequent to the second time point as a start time and the second time point It includes a first order prediction section having a fourth time point subsequent to the third time point as an end time, and determines whether to generate the notification signal based on whether the third order information is received from the first client in the first order prediction section And, the order analysis module, When receiving the third order information from the first client at a fifth time point included in the first order prediction section, second order prediction information based on the first order prediction information and the third order information generating, and storing the second order prediction information in the database, the second order prediction information includes a second order prediction interval different from the first order prediction interval, the order analysis module, the third Create the second order prediction section based on the interval between the time point and the fifth time point and the interval between the fifth time point and the fourth time point, [Equation]The order analysis module generates the second order prediction section by using the equation, in the equation, k is a unique correction coefficient, t3 is the third time point, t4 is the fourth time point, t5 is the fifth time A time point, t'3 is a seventh time point at which the third time point is corrected, t'4 is an eighth time point at which the fourth time point is corrected, and t is an elapsed time, a neural network-based livestock distribution system.</t>
  </si>
  <si>
    <t>Receive a plurality of order information from a first client, and analyze the plurality of order information, wherein the plurality of order information includes first order information and second order information, and the plurality of order information is each order time point; an order analysis module including information corresponding to an order product, an order quantity, and an order price;Processor;a notification module generating a notification signal under the control of the processor and transmitting the notification signal to the first client; and a database for storing the first order information and the second order information, wherein the order analysis module receives the first order information from the first client at a first time point, and the first time point At a second time point subsequent to, receiving the second order information from the first client, and analyzing the order possibility and order expected timing of the first client based on the first order information and the second order information Generates first order prediction information including a result, and stores the first order prediction information in the database, wherein the first order prediction information has a third time point subsequent to the second time point as a start time and the second time point It includes a first order prediction section having a fourth time point subsequent to the third time point as an end time, and determines whether to generate the notification signal based on whether the third order information is received from the first client in the first order prediction section And, the order analysis module, When receiving the third order information from the first client at a fifth time point included in the first order prediction section, second order prediction information based on the first order prediction information and the third order information generating, and storing the second order prediction information in the database, the second order prediction information includes a second order prediction interval different from the first order prediction interval, the order analysis module, the third Create the second order prediction section based on the interval between the time point and the fifth time point and the interval between the fifth time point and the fourth time point, [Equation]The order analysis module generates the second order prediction section by using the equation, in the equation, k is a unique correction coefficient, t3 is the third time point, t4 is the fourth time point, t5 is the fifth time A time point, t'3 is a seventh time point at which the third time point is corrected, t'4 is an eighth time point at which the fourth time point is corrected, and t is an elapsed time, a neural network-based livestock distribution system.
delete
delete
According to claim 1, wherein the order analysis module generates the second order prediction information by using a correction model, the correction model comprises an input layer, one or more hidden layers and an output layer, the first order prediction information A plurality of training data related to is input to the input layer of the correction model and passes through the one or more hidden layers and output layers to output an output vector, and the output vector is input to a loss function layer connected to the output layer, The loss function layer outputs a loss value using a loss function that compares the output vector with a correct vector for each training data, and the parameters of the correction model are learned in a direction in which the loss value becomes smaller. based livestock distribution system.
by the order analysis module, receive a plurality of order information from the first client, and analyze the plurality of order information, wherein the plurality of order information includes first order information, second order information, and the plurality of orders The information includes information corresponding to each order time, order product, order quantity, and order price, and stores the first order information and the second order information by a database, and by the order analysis module, the first at a time point, receive the first order information from the first client, and at a second time point subsequent to the first time point, receive the second order information from the first client, the first order information and the On the basis of the second order information, generating and storing the first order prediction information including the analysis result regarding the order possibility and the order prediction time of the first client in the database, The first order prediction information includes a first order prediction section having a third time point following the second time point as a start time and a fourth time point following the third time point as an end time, and the first order and determining whether to generate a notification signal based on whether or not the third order information is received from the first client in the expected section, and by the order analysis module, at a fifth time point included in the first order expected section, the When receiving the third order information from the first client, generate second order prediction information based on the first order prediction information and the third order information, and store the second order prediction information in the database,, The second order prediction information includes a second order prediction interval different from the first order prediction interval, the interval between the third time point and the fifth time point and between the fifth time point and the fourth time point Further comprising generating the second order prediction interval based on the interval, [Equation]The order analysis module generates the second order prediction section by using the equation, in the equation, k is a unique correction coefficient, t3 is the third time point, t4 is the fourth time point, t5 is the fifth time A time point, t'3 is a seventh time point at which the third time point is corrected, t'4 is an eighth time point at which the fourth time point is corrected, and t means an elapsed time, a neural network-based livestock product distribution service method.
Receive first order information including information corresponding to an order time, order product, order quantity, and order price from a first client, receive first sales information about the first order information from a second client, and Extracting first sales-related information based on the first sales information, wherein the first sales-related information includes information corresponding to breeding, part, grade, country of origin, use, storage method, slaughterhouse, weight, etc. for livestock products, extraction module;a user management module for generating first user information including unique identification information for an orderer terminal connected to the first client based on the first order information; and a security module configured to generate a first encryption block based on the first user information and generate a second encryption block based on the first sales-related information, wherein the security module includes: the first user information Extracting first input data for the unique identification information of the orderer terminal connected to the first client and second input data for the order information of the orderer terminal connected to the first client based on the first input data and vectorizing the second input data in a virtual space, and generating the first encryption block based on the distance in the virtual space between the first input data and the second input data, [Equation]The security module generates the first encryption block by using the equation, where K is a kernel function, W is a parameter, α is a dependent variable for W, and x_i is the first virtual space Input data, y_i is the second input data of the virtual space, σ means a bandwidth parameter, a neural network-based livestock distribution system.
delete
[Claim 7] The system of claim 6, further comprising a block chain module for generating a non-fungible token (NFT) based on the first encryption block and the second encryption block..
A livestock product distribution metaverse platform, the platform comprising: a server; and a metaverse implementation device, wherein the server includes: a processor;Receive a plurality of order information from a first client, and analyze the plurality of order information, wherein the plurality of order information includes first order information and second order information, and the first order information is a first order time, an order analysis module including a first order product, a first order quantity, and a first order price;a notification module generating a notification signal under the control of the processor and transmitting the notification signal to the first client; a database for storing the first order information and the second order information; and an object data collection module for collecting object data including an image, livestock information, livestock transaction information, etc. about livestock products, wherein the order analysis module includes, the first order information from the first client at a first time receiving the second order information from the first client at a second time point subsequent to the first time point, and based on the first order information and the second order information, the order pattern of the first client A first order prediction information including analysis information about and a first order prediction interval to determine whether to generate the notification signal based on whether or not the third order information is received from the first client in the first order prediction interval, and the order analysis module includes the first order At the fifth time point included in the expected interval, When receiving the third order information from the first client, generate second order prediction information based on the first order prediction information and the third order information, and store the second order prediction information in the database And, the second order prediction information includes a second order prediction interval different from the first order prediction interval, the order analysis module, the interval between the third time point and the fifth time point and the fifth time point and generating the second order prediction section based on the interval between the fourth time point and [Equation]The order analysis module generates the second order prediction section by using the equation, in the equation, k is a unique correction coefficient, t3 is the third time point, t4 is the fourth time point, t5 is the fifth time A time point, t'3 is a seventh time point at which the third time point is corrected, t'4 is an eighth time point at which the fourth time point is corrected, and t is an elapsed time, and the metaverse implementation apparatus includes: A livestock product distribution metaverse platform comprising an augmented reality implementation module that outputs an AR (augmented reality) image on the livestock product distribution platform based on the object data provided from the data collection module.
A livestock product distribution metaverse platform, the platform comprising: a server; and a metaverse implementation device, wherein the server receives first order information including information corresponding to an order time point, order product, order quantity, and order price from a first client, and receives the second order information from a second client 1 Receive first sales information for order information, and extract first sales-related information based on the first sales information, wherein the first sales-related information includes breeding, part, grade, country of origin, use, an extraction module, including information corresponding to storage methods, slaughterhouses, weight, and the like;a user management module for generating first user information including unique identification information for an orderer terminal connected to the first client based on the first order information;a security module for generating a first encryption block based on the first user information and generating a second encryption block based on the first sales-related information; and an object data collection module that collects object data including images related to livestock products, livestock product information, and the like, wherein the security module includes, based on the first user information, unique identification of the orderer terminal connected to the first client extracting the first input data for information and the second input data for the order information of the orderer terminal connected to the first client, and vectorizing the first input data and the second input data in a virtual space, and the generating the first encryption block based on the distance in the virtual space between the first input data and the second input data, [Equation]The security module generates the first encryption block by using the equation, where K is a kernel function, W is a parameter, α is a dependent variable for W, and x_i is the first virtual space Input data, y_i is the second input data of the virtual space, σ means a bandwidth parameter, and the metaverse implementation device is AR (augmented) on the livestock distribution platform based on the object data provided from the object data collection module reality) A livestock product distribution metaverse platform that includes an augmented reality realization module that generates images.</t>
  </si>
  <si>
    <t>G06Q01008000 | G06F02164000 | G06N00308000 | G06N02000000 | G06Q01006000 | G06Q03002000 | G06Q03006000 | G06T01900000 | H04L06710970</t>
  </si>
  <si>
    <t>KR102437103B1</t>
  </si>
  <si>
    <t>I-000229601081</t>
  </si>
  <si>
    <t>https://patentscout.innography.com/share/QL7vI-ricUR-JzMHpOmHtA%3D%3D</t>
  </si>
  <si>
    <t>2022-07-21-DECISION TO GRANT OR REGISTRATION OF PATENT RIGHT|2022-08-08-DIVISIONAL APPLICATION OF PATENT|2022-08-23-WRITTEN DECISION TO GRANT</t>
  </si>
  <si>
    <t>https://patentscout.innography.com/share/QL7vI-ricUR-JzMHpOmHtA%3D%3D/download</t>
  </si>
  <si>
    <t>https://v3.espacenet.com/publicationDetails/biblio?CC=KR&amp;NR=102437103B1&amp;KC=B1&amp;FT=D&amp;date=20220830&amp;DB=EPODOC&amp;locale=</t>
  </si>
  <si>
    <t>1.  Receive a plurality of order information from a first client, and analyze the plurality of order information, wherein the plurality of order information includes first order information and second order information, and the plurality of order information is each order time point; an order analysis module including information corresponding to an order product, an order quantity, and an order price;Processor;a notification module generating a notification signal under the control of the processor and transmitting the notification signal to the first client; and a database for storing the first order information and the second order information, wherein the order analysis module receives the first order information from the first client at a first time point, and the first time point At a second time point subsequent to, receiving the second order information from the first client, and analyzing the order possibility and order expected timing of the first client based on the first order information and the second order information Generates first order prediction information including a result, and stores the first order prediction information in the database, wherein the first order prediction information has a third time point subsequent to the second time point as a start time and the second time point It includes a first order prediction section having a fourth time point subsequent to the third time point as an end time, and determines whether to generate the notification signal based on whether the third order information is received from the first client in the first order prediction section And, the order analysis module, When receiving the third order information from the first client at a fifth time point included in the first order prediction section, second order prediction information based on the first order prediction information and the third order information generating, and storing the second order prediction information in the database, the second order prediction information includes a second order prediction interval different from the first order prediction interval, the order analysis module, the third Create the second order prediction section based on the interval between the time point and the fifth time point and the interval between the fifth time point and the fourth time point, [Equation]The order analysis module generates the second order prediction section by using the equation, in the equation, k is a unique correction coefficient, t3 is the third time point, t4 is the fourth time point, t5 is the fifth time A time point, t'3 is a seventh time point at which the third time point is corrected, t'4 is an eighth time point at which the fourth time point is corrected, and t is an elapsed time, a neural network-based livestock distribution system.</t>
  </si>
  <si>
    <t>5.  by the order analysis module, receive a plurality of order information from the first client, and analyze the plurality of order information, wherein the plurality of order information includes first order information, second order information, and the plurality of orders The information includes information corresponding to each order time, order product, order quantity, and order price, and stores the first order information and the second order information by a database, and by the order analysis module, the first at a time point, receive the first order information from the first client, and at a second time point subsequent to the first time point, receive the second order information from the first client, the first order information and the On the basis of the second order information, generating and storing the first order prediction information including the analysis result regarding the order possibility and the order prediction time of the first client in the database, The first order prediction information includes a first order prediction section having a third time point following the second time point as a start time and a fourth time point following the third time point as an end time, and the first order and determining whether to generate a notification signal based on whether or not the third order information is received from the first client in the expected section, and by the order analysis module, at a fifth time point included in the first order expected section, the When receiving the third order information from the first client, generate second order prediction information based on the first order prediction information and the third order information, and store the second order prediction information in the database,, The second order prediction information includes a second order prediction interval different from the first order prediction interval, the interval between the third time point and the fifth time point and between the fifth time point and the fourth time point Further comprising generating the second order prediction interval based on the interval, [Equation]The order analysis module generates the second order prediction section by using the equation, in the equation, k is a unique correction coefficient, t3 is the third time point, t4 is the fourth time point, t5 is the fifth time A time point, t'3 is a seventh time point at which the third time point is corrected, t'4 is an eighth time point at which the fourth time point is corrected, and t means an elapsed time, a neural network-based livestock product distribution service method.</t>
  </si>
  <si>
    <t>6.  Receive first order information including information corresponding to an order time, order product, order quantity, and order price from a first client, receive first sales information about the first order information from a second client, and Extracting first sales-related information based on the first sales information, wherein the first sales-related information includes information corresponding to breeding, part, grade, country of origin, use, storage method, slaughterhouse, weight, etc. for livestock products, extraction module;a user management module for generating first user information including unique identification information for an orderer terminal connected to the first client based on the first order information; and a security module configured to generate a first encryption block based on the first user information and generate a second encryption block based on the first sales-related information, wherein the security module includes: the first user information Extracting first input data for the unique identification information of the orderer terminal connected to the first client and second input data for the order information of the orderer terminal connected to the first client based on the first input data and vectorizing the second input data in a virtual space, and generating the first encryption block based on the distance in the virtual space between the first input data and the second input data, [Equation]The security module generates the first encryption block by using the equation, where K is a kernel function, W is a parameter, α is a dependent variable for W, and x_i is the first virtual space Input data, y_i is the second input data of the virtual space, σ means a bandwidth parameter, a neural network-based livestock distribution system.</t>
  </si>
  <si>
    <t>9.  A livestock product distribution metaverse platform, the platform comprising: a server; and a metaverse implementation device, wherein the server includes: a processor;Receive a plurality of order information from a first client, and analyze the plurality of order information, wherein the plurality of order information includes first order information and second order information, and the first order information is a first order time, an order analysis module including a first order product, a first order quantity, and a first order price;a notification module generating a notification signal under the control of the processor and transmitting the notification signal to the first client; a database for storing the first order information and the second order information; and an object data collection module for collecting object data including an image, livestock information, livestock transaction information, etc. about livestock products, wherein the order analysis module includes, the first order information from the first client at a first time receiving the second order information from the first client at a second time point subsequent to the first time point, and based on the first order information and the second order information, the order pattern of the first client A first order prediction information including analysis information about and a first order prediction interval to determine whether to generate the notification signal based on whether or not the third order information is received from the first client in the first order prediction interval, and the order analysis module includes the first order At the fifth time point included in the expected interval, When receiving the third order information from the first client, generate second order prediction information based on the first order prediction information and the third order information, and store the second order prediction information in the database And, the second order prediction information includes a second order prediction interval different from the first order prediction interval, the order analysis module, the interval between the third time point and the fifth time point and the fifth time point and generating the second order prediction section based on the interval between the fourth time point and [Equation]The order analysis module generates the second order prediction section by using the equation, in the equation, k is a unique correction coefficient, t3 is the third time point, t4 is the fourth time point, t5 is the fifth time A time point, t'3 is a seventh time point at which the third time point is corrected, t'4 is an eighth time point at which the fourth time point is corrected, and t is an elapsed time, and the metaverse implementation apparatus includes: A livestock product distribution metaverse platform comprising an augmented reality implementation module that outputs an AR (augmented reality) image on the livestock product distribution platform based on the object data provided from the data collection module.</t>
  </si>
  <si>
    <t>10.  A livestock product distribution metaverse platform, the platform comprising: a server; and a metaverse implementation device, wherein the server receives first order information including information corresponding to an order time point, order product, order quantity, and order price from a first client, and receives the second order information from a second client 1 Receive first sales information for order information, and extract first sales-related information based on the first sales information, wherein the first sales-related information includes breeding, part, grade, country of origin, use, an extraction module, including information corresponding to storage methods, slaughterhouses, weight, and the like;a user management module for generating first user information including unique identification information for an orderer terminal connected to the first client based on the first order information;a security module for generating a first encryption block based on the first user information and generating a second encryption block based on the first sales-related information; and an object data collection module that collects object data including images related to livestock products, livestock product information, and the like, wherein the security module includes, based on the first user information, unique identification of the orderer terminal connected to the first client extracting the first input data for information and the second input data for the order information of the orderer terminal connected to the first client, and vectorizing the first input data and the second input data in a virtual space, and the generating the first encryption block based on the distance in the virtual space between the first input data and the second input data, [Equation]The security module generates the first encryption block by using the equation, where K is a kernel function, W is a parameter, α is a dependent variable for W, and x_i is the first virtual space Input data, y_i is the second input data of the virtual space, σ means a bandwidth parameter, and the metaverse implementation device is AR (augmented) on the livestock distribution platform based on the object data provided from the object data collection module reality) A livestock product distribution metaverse platform that includes an augmented reality realization module that generates images.</t>
  </si>
  <si>
    <t>KR100986940 B1 | KR102245338 B1 | KR20120038341 A | KR20140015679 A | KR20160109794 A | KR20170106582 A | KR20180057868 A | KR20190023611 A | KR20190051520 A | KR20200109233 A | KR20210074590 A</t>
  </si>
  <si>
    <t>2022-10-31</t>
  </si>
  <si>
    <t>2022-05-24</t>
  </si>
  <si>
    <t>2042-05-24</t>
  </si>
  <si>
    <t>Disclosed is a method for providing a metaverse training service according to various embodiments of the present invention for realizing the above-described problems. The method is performed by one or more processors of a computing device the method comprising: obtaining exercise capability information of a user corresponding to a user terminal; generating a virtual character based on the athletic capability information; and based on the virtual character to provide a training service.</t>
  </si>
  <si>
    <t>Method, server and computer program for providing metaverse training services</t>
  </si>
  <si>
    <t>virtual character|training service|capability information|ability information</t>
  </si>
  <si>
    <t>Yanadoo</t>
  </si>
  <si>
    <t>YANADOO</t>
  </si>
  <si>
    <t>KR20220063497A</t>
  </si>
  <si>
    <t>A method performed by one or more processors of a computing device, the method comprising: obtaining exercise capability information of a user corresponding to a user terminal;generating a virtual character based on the athletic ability information; and providing a training service based on the virtual character.Including, wherein the obtaining of the exercise capability information comprises the user's body size based on information on a body part to which each of the plurality of sensor devices provided on the user's body is attached and distance information between the plurality of sensor devices. obtaining information; Including, wherein the providing of the training service comprises: identifying a type of exercise performed by the user based on the user's movement information obtained from the plurality of sensor devices;Counting the user's motion according to the identified type of exercise to generate the user's exercise amount sensing information, but not counting the motion irrelevant to the identified type of exercise; Including, the step of identifying the type of exercise, obtaining an exercise rule setting signal from the user;generating a new exercise rule based on the user's movement information; and sharing the created exercise rule with other users. Further comprising, wherein the providing of the training service comprises: acquiring the user's posture information based on information acquired from the plurality of sensor devices;generating device control information for adjusting the intensity of an exercise device used by the user based on the user's posture information and exercise guide information for the user; and transmitting the device control information and the exercise guide information to the exercise device. Including, a metaverse training service providing method.</t>
  </si>
  <si>
    <t>A method performed by one or more processors of a computing device, the method comprising: obtaining exercise capability information of a user corresponding to a user terminal;generating a virtual character based on the athletic ability information; and providing a training service based on the virtual character.Including, wherein the obtaining of the exercise capability information comprises the user's body size based on information on a body part to which each of the plurality of sensor devices provided on the user's body is attached and distance information between the plurality of sensor devices. obtaining information; Including, wherein the providing of the training service comprises: identifying a type of exercise performed by the user based on the user's movement information obtained from the plurality of sensor devices;Counting the user's motion according to the identified type of exercise to generate the user's exercise amount sensing information, but not counting the motion irrelevant to the identified type of exercise; Including, the step of identifying the type of exercise, obtaining an exercise rule setting signal from the user;generating a new exercise rule based on the user's movement information; and sharing the created exercise rule with other users. Further comprising, wherein the providing of the training service comprises: acquiring the user's posture information based on information acquired from the plurality of sensor devices;generating device control information for adjusting the intensity of an exercise device used by the user based on the user's posture information and exercise guide information for the user; and transmitting the device control information and the exercise guide information to the exercise device. Including, a metaverse training service providing method.
The method of claim 1, further comprising: acquiring exercise amount sensing information related to a user's exercise performance result through a sensor device; and obtaining the exercise ability information based on the exercise amount sensing information.further comprising, wherein the amount of exercise sensing information is information that is a basis for calculating the exercise ability information, and includes information on changes in the amount of exercise over time, and the sensor device is configured to detect the user's movement for, the method of providing a metaverse training service, characterized in that it is provided in at least one of the user's body and the exercise device.
The method of claim 2, further comprising: obtaining instrument performance information related to the exercise device; and assigning a weight to the momentum sensing information based on the instrument performance information. Further comprising, a metaverse training service providing method.
The method of claim 1, wherein the generating of the virtual character comprises: determining an initial setting value of the virtual character to be different according to the exercise ability information;determining a growth rate of the virtual character differently according to the exercise ability information; and differently determining a reward obtainable through the virtual character according to the exercise capability information.A method of providing a metaverse training service, comprising at least one of the steps.
The method of claim 1, wherein the training service provides a simulation for a user to perform training on the virtual character, characterized in that the ability value of the virtual character is changed according to a result of participation in the simulation, How to provide metaverse training services.
The method of claim 1, further comprising: identifying a singularity point in which the exercise ability information changes by more than a predetermined reference value;changing the ability value of the virtual character based on the singularity; and providing a reward to the user terminal based on the singularity.Including, wherein the reward, characterized in that it can be used to purchase an item that changes the ability of the virtual character, metaverse training service providing method.
The method of claim 1, wherein the providing of the training service comprises: generating recommended exercise information based on the exercise ability information; and providing a training service related to the recommended exercise information.Including, wherein the recommended exercise information, including exercise item information, exercise time information, and exercise intensity information, a metaverse training service providing method.
The method of claim 1, wherein the providing of the training service comprises: providing a matching service with a plurality of other user terminals based on the capability values of the virtual character; The method for providing a metaverse training service, characterized in that the matching service provides a simulation for performing training in connection with users of a plurality of user terminals.
The method of claim 1, wherein the providing of the training service comprises: providing a reward according to the exercise result of the user; The method further comprising: providing the reward includes: providing a virtual asset corresponding thereto according to the exercise result of the user; Including, a metaverse training service providing method.
a memory storing one or more instructions; and a processor executing the one or more instructions stored in the memory. wherein the processor performs the method of claim 1 by executing the one or more instructions.
A computer program that is combined with a computer as hardware and stored in a computer-readable recording medium to perform the method of claim 1.</t>
  </si>
  <si>
    <t>Sung, Tae Yeon</t>
  </si>
  <si>
    <t>G06Q05010000 | A63B02400000 | G06Q05022000 | G06T01340000</t>
  </si>
  <si>
    <t>KR102461484B1</t>
  </si>
  <si>
    <t>KR102461484 B1</t>
  </si>
  <si>
    <t>I-000231724613</t>
  </si>
  <si>
    <t>20 years from 2022-05-24 (file date)</t>
  </si>
  <si>
    <t>https://patentscout.innography.com/share/i_JSiQhaSpAz6cqtJlneNQ%3D%3D</t>
  </si>
  <si>
    <t>2022-10-24-DECISION TO GRANT OR REGISTRATION OF PATENT RIGHT|2022-10-27-WRITTEN DECISION TO GRANT</t>
  </si>
  <si>
    <t>https://patentscout.innography.com/share/i_JSiQhaSpAz6cqtJlneNQ%3D%3D/download</t>
  </si>
  <si>
    <t>https://v3.espacenet.com/publicationDetails/biblio?CC=KR&amp;NR=102461484B1&amp;KC=B1&amp;FT=D&amp;date=20221031&amp;DB=EPODOC&amp;locale=</t>
  </si>
  <si>
    <t>KR20102461484 B1</t>
  </si>
  <si>
    <t>1.  A method performed by one or more processors of a computing device, the method comprising: obtaining exercise capability information of a user corresponding to a user terminal;generating a virtual character based on the athletic ability information; and providing a training service based on the virtual character.Including, wherein the obtaining of the exercise capability information comprises the user's body size based on information on a body part to which each of the plurality of sensor devices provided on the user's body is attached and distance information between the plurality of sensor devices. obtaining information; Including, wherein the providing of the training service comprises: identifying a type of exercise performed by the user based on the user's movement information obtained from the plurality of sensor devices;Counting the user's motion according to the identified type of exercise to generate the user's exercise amount sensing information, but not counting the motion irrelevant to the identified type of exercise; Including, the step of identifying the type of exercise, obtaining an exercise rule setting signal from the user;generating a new exercise rule based on the user's movement information; and sharing the created exercise rule with other users. Further comprising, wherein the providing of the training service comprises: acquiring the user's posture information based on information acquired from the plurality of sensor devices;generating device control information for adjusting the intensity of an exercise device used by the user based on the user's posture information and exercise guide information for the user; and transmitting the device control information and the exercise guide information to the exercise device. Including, a metaverse training service providing method.</t>
  </si>
  <si>
    <t>JP2001160154 A | KR20180000022 A | KR20190062045 A | KR20200067537 A</t>
  </si>
  <si>
    <t>The present invention relates to a method of matching user image data in a metaverse-based office environment and more particularly in constructing an office environment in a three-dimensional virtual space based on the metaverse a participant corresponding to a character connected to the office environment. By filming the current situation of the (user) in real time and superimposing it on the virtual image it is possible to greatly improve the social ties in the virtual space pursued by the metaverse. In particular the present invention receives image data of an image camera taken at a remote point and places it in a two-dimensional shape at the position of a character&amp;#39;s head in a three-dimensional virtual space and replaces the character&amp;#39;s face with the user&amp;#39;s image data captured in real time It is not limited to text-based conversations and additional information based on the other person&amp;#39;s facial expressions or actions can be delivered at the same time. In addition the present invention sets up a conversation group that satisfies a certain condition among users accessing the virtual space and enables conversation only within the conversation group thereby avoiding problems such as information leakage occurring in the process of information delivery. can be prevented in Accordingly reliability and competitiveness can be improved in the metaverse field virtual reality field and virtual office field as well as similar or related fields.</t>
  </si>
  <si>
    <t>User image data matching method in metaverse based office environment, storage medium in which a program executing the same, and user image data matching system including the same</t>
  </si>
  <si>
    <t>KR20210189840A</t>
  </si>
  <si>
    <t>In the process where users connected to a virtual space set as an office environment move through each spatial area of the virtual space partitioned into a plurality of spatial areas, a virtual corresponding to the camera view point of the target user among users located in the same spatial area as the target user a chat group checking step of confirming whether a chat group is included for users included in the video; and a user image matching step of matching a user image captured in real time of the group user to the avatar of each group user included in the chat group;</t>
  </si>
  <si>
    <t>In the process where users connected to a virtual space set as an office environment move through each spatial area of the virtual space partitioned into a plurality of spatial areas, a virtual corresponding to the camera view point of the target user among users located in the same spatial area as the target user a chat group checking step of confirming whether a chat group is included for users included in the video; and a user image matching step of matching a user image captured in real time of the group user to the avatar of each group user included in the chat group;
The method of claim 1, wherein the matching of the user image comprises matching the user image to the head of the avatar.
The method of claim 2 , wherein the matching of the user image comprises: confirming the two-dimensional coordinates on which the head position of the corresponding avatar is projected from the virtual image of the camera coordinate system on which the virtual space of the three-dimensional coordinate system is projected; and a user image overlapping step of overlapping the corresponding user image on the two-dimensional coordinates of the virtual image.
4. The method of claim 3, wherein the step of confirming the target coordinates comprises: an avatar location checking step of checking a location of the corresponding avatar in a three-dimensional virtual space;a relative position checking step of calculating the relative position of the head in the skeletal structure of the corresponding avatar;a head position checking step of calculating the 3D coordinates of the head by applying the relative position to the 3D coordinates of the corresponding avatar; and a projection coordinate checking step of checking the two-dimensional coordinates on which the head position of the corresponding avatar is projected.
[Claim 5] The user image in a metaverse-based office environment according to claim 4, further comprising an avatar setting information checking step of checking setting information of an avatar matched to a corresponding group user before the target coordinate checking step. Data matching method.
The metaverse-based office of claim 2, wherein the matching of the user image comprises image processing the user image to extract the head of the user, and matching the extracted image to the head of the avatar. User image data matching method in environment.
[Claim 7] The method of claim 6, wherein the matching of the user image comprises extracting a certain image area based on a set feature point among the head of the user.
According to claim 7, wherein in the user image matching step, when the first image region is extracted by the feature point, thereafter, the extracted image region is fixed irrespective of the user's movement and overlapped, characterized in that it overlaps. A method of matching user image data in a bus-based office environment.
The method of claim 1, wherein in the confirming of the talk group, a talk group participation restriction is set in at least a part of the spatial area including the security area of the virtual space, and the conversation participation right among users located in the corresponding spatial area is removed. User image data matching method in a metaverse-based office environment, characterized in that the user is excluded from the corresponding conversation group.
A storage medium in which a program for executing the user image data matching method in the metaverse-based office environment of any one of claims 1 to 9 is recorded.
A user image data matching system in a metaverse-based office environment including the storage medium of claim 10 .
delete</t>
  </si>
  <si>
    <t>G06Q05010000 | G06T01340000 | G06T01920000 | H04N00715000 | H04N02123600</t>
  </si>
  <si>
    <t>KR102419906B1</t>
  </si>
  <si>
    <t>KR102419906 B1</t>
  </si>
  <si>
    <t>I-000227796329</t>
  </si>
  <si>
    <t>https://patentscout.innography.com/share/AhDZlqVNSUliktpXOqSUjw%3D%3D</t>
  </si>
  <si>
    <t>https://patentscout.innography.com/share/AhDZlqVNSUliktpXOqSUjw%3D%3D/download</t>
  </si>
  <si>
    <t>https://v3.espacenet.com/publicationDetails/biblio?CC=KR&amp;NR=102419906B1&amp;KC=B1&amp;FT=D&amp;date=20220713&amp;DB=EPODOC&amp;locale=</t>
  </si>
  <si>
    <t>KR20102419906 B1</t>
  </si>
  <si>
    <t>1.  In the process where users connected to a virtual space set as an office environment move through each spatial area of the virtual space partitioned into a plurality of spatial areas, a virtual corresponding to the camera view point of the target user among users located in the same spatial area as the target user a chat group checking step of confirming whether a chat group is included for users included in the video; and a user image matching step of matching a user image captured in real time of the group user to the avatar of each group user included in the chat group;</t>
  </si>
  <si>
    <t>JP2001160154 A | JP2013078105 A | KR20180000022 A | KR20180062045 A | KR20190062045 A</t>
  </si>
  <si>
    <t>The present invention relates to a method of displaying user image data in a metaverse-based office environment and more particularly in constructing an office environment in a three-dimensional virtual space based on the metaverse a participant corresponding to a character connected to the office environment. By filming the current situation of the (user) in real time and superimposing it on the virtual image it is possible to greatly improve the social ties in the virtual space pursued by the metaverse. In particular the present invention gives the highest priority to the user who is currently chatting or the user who has the last chat among users participating in the conversation group and improves the concentration of the conversation group by placing an image of the user in the uppermost layer can do it In addition the present invention receives the image data of the video camera photographed at a remote point places it in a two-dimensional shape at the position of the character&amp;#39;s head in the three-dimensional virtual space and replaces the character&amp;#39;s face with the user&amp;#39;s image data taken in real time. It is possible to simultaneously deliver additional information based on the other person&amp;#39;s facial expressions or actions without being limited to text-based conversations. Accordingly reliability and competitiveness can be improved in the metaverse field virtual reality field and virtual office field as well as similar or related fields.</t>
  </si>
  <si>
    <t>User image data display method in metaverse based office environment, storage medium in which a program executing the same, and user image data display system including the same</t>
  </si>
  <si>
    <t>KR20210189894A</t>
  </si>
  <si>
    <t>In the process where users connected to a virtual space set as an office environment move through each spatial area of the virtual space partitioned into a plurality of spatial areas, a virtual corresponding to the camera view point of the target user among users located in the same spatial area as the target user a user image matching step of confirming whether the chat group for the users included in the video is included, and matching the avatar of each group user included in the chat group with the user video shot in real time of the group user;a priority determining step of setting, as a highest priority, a user image of a user who is currently chatting or a user who has recently talked when at least a portion of the at least two user images overlap; and a user image display step of sequentially arranging and displaying each user image from the uppermost layer according to a set priority.</t>
  </si>
  <si>
    <t>In the process where users connected to a virtual space set as an office environment move through each spatial area of the virtual space partitioned into a plurality of spatial areas, a virtual corresponding to the camera view point of the target user among users located in the same spatial area as the target user a user image matching step of confirming whether the chat group for the users included in the video is included, and matching the avatar of each group user included in the chat group with the user video shot in real time of the group user;a priority determining step of setting, as a highest priority, a user image of a user who is currently chatting or a user who has recently talked when at least a portion of the at least two user images overlap; and a user image display step of sequentially arranging and displaying each user image from the uppermost layer according to a set priority.
The method of claim 1, wherein the determining of the priority comprises: a chatting confirmation step of confirming whether or not chatting data of at least one of the voices and texts of group users included in the corresponding chat group is transmitted; and a prioritization step of giving priority in descending order according to the order in which the chat data is transmitted with the current time as the top priority.
According to claim 2, wherein the prioritization step, when the chat data is voice, when the received voice is greater than a set reference size, it is determined that the group user from whom the voice was received has a conversation, and the corresponding chat data A method for displaying user image data in a metaverse-based office environment, characterized in that priority is given to
[4] The method of claim 3, wherein, in the prioritization step, if the reception of the video of the group user determined to have a conversation is maintained, it is determined that the group user continues the conversation, and priority is given to the chatting data. A method of displaying user image data in a metaverse-based office environment.
The method of claim 1 , wherein the displaying of the user image comprises sequentially adjusting the brightness of each user image according to a set priority and displaying the displayed image data.
[Claim 6] The method of claim 5, wherein in the displaying of the user image, the user image of the corresponding group user is blinded with a semi-transparent effect when there is no conversation for a certain period of time or more. .
The method of claim 1 , wherein the matching of the user image comprises: confirming the two-dimensional coordinates on which the head position of the corresponding avatar is projected from the virtual image of the camera coordinate system on which the virtual space of the three-dimensional coordinate system is projected; and a user image overlapping step of overlapping the corresponding user image on the two-dimensional coordinates of the virtual image.
The method of claim 7, wherein the step of checking the target coordinates comprises: checking the location of the avatar in a three-dimensional virtual space;a relative position checking step of calculating the relative position of the head in the skeletal structure of the corresponding avatar;a head position checking step of calculating the 3D coordinates of the head by applying the relative position to the 3D coordinates of the corresponding avatar; and a projection coordinate confirmation step of confirming the two-dimensional coordinates on which the head position of the corresponding avatar is projected.
The method of claim 1, wherein the user image matching step sets a conversation group participation restriction in at least a partial spatial area including a security area among the virtual space, and removes the conversation participation right among users located in the corresponding spatial area. A method for displaying user image data in a metaverse-based office environment, characterized in that the user is excluded from the corresponding conversation group.
A storage medium in which a program for executing the method of displaying user image data in the metaverse-based office environment of any one of claims 1 to 9 is recorded.
A system for displaying user image data in a metaverse-based office environment including the storage medium of claim 10 .
delete
delete</t>
  </si>
  <si>
    <t>G06Q05010000 | G06Q05030000 | G06T01340000 | G06T01900000</t>
  </si>
  <si>
    <t>KR102419919B1</t>
  </si>
  <si>
    <t>KR102419919 B1</t>
  </si>
  <si>
    <t>I-000227796332</t>
  </si>
  <si>
    <t>https://patentscout.innography.com/share/O580aEtw6LJruyd5Nplm1g%3D%3D</t>
  </si>
  <si>
    <t>https://patentscout.innography.com/share/O580aEtw6LJruyd5Nplm1g%3D%3D/download</t>
  </si>
  <si>
    <t>https://v3.espacenet.com/publicationDetails/biblio?CC=KR&amp;NR=102419919B1&amp;KC=B1&amp;FT=D&amp;date=20220713&amp;DB=EPODOC&amp;locale=</t>
  </si>
  <si>
    <t>KR20102419919 B1</t>
  </si>
  <si>
    <t>1.  In the process where users connected to a virtual space set as an office environment move through each spatial area of the virtual space partitioned into a plurality of spatial areas, a virtual corresponding to the camera view point of the target user among users located in the same spatial area as the target user a user image matching step of confirming whether the chat group for the users included in the video is included, and matching the avatar of each group user included in the chat group with the user video shot in real time of the group user;a priority determining step of setting, as a highest priority, a user image of a user who is currently chatting or a user who has recently talked when at least a portion of the at least two user images overlap; and a user image display step of sequentially arranging and displaying each user image from the uppermost layer according to a set priority.</t>
  </si>
  <si>
    <t>CN109091873 A | CN114047817 A | US20110126272 A1 | US20170189815 A1 | WO2021041746 A1</t>
  </si>
  <si>
    <t>2022-06-17</t>
  </si>
  <si>
    <t>The application claims a method and system for generating virtual avatar by user tag of metaverse the method comprises: receiving the data uploading request; verifying the identity information of the real user after the verification is passed searching the virtual user corresponding to the real user in the virtual system wherein the virtual system is a software system realized by a computer; after searching the virtual user reply response message; obtaining the data uploaded by the real user and classifying the data to obtain the type of the data; and adjusting the attribute of the virtual user according to the type of the uploaded data and the data amount corresponding to each type. The application solves the problem that there is no interaction between the metaverse and the real world caused by no intersection between the attribute of the virtual character and the real user so as to adjust the attribute of the virtual user according to the real user data contribution amount and increase the interaction between the metaverse and the real world.</t>
  </si>
  <si>
    <t>Method and system for generating virtual avatar by user tag of metaverse</t>
  </si>
  <si>
    <t>Shenzhen Label Data Co., Ltd.</t>
  </si>
  <si>
    <t>SHENZHEN LABEL DATA CO., LTD.</t>
  </si>
  <si>
    <t>CN202210689200A</t>
  </si>
  <si>
    <t>1. A method for generating virtual avatar by user tag of metaverse, wherein it comprises: receiving the data uploading request, wherein the data uploading request carries the identity information of the real user; verifying the identity information of the real user, after the verification is passed, searching the virtual user corresponding to the real user in the virtual system, wherein the virtual system is a software system realized by a computer; after searching the virtual user, replying the response message, wherein the response message is used for indicating the real user to upload data; obtaining the data uploaded by the real user, and classifying the data to obtain the type of the data; and adjusting the attribute of the virtual user according to the type of the uploaded data and the data amount corresponding to each type.</t>
  </si>
  <si>
    <t>1. A method for generating virtual avatar by user tag of metaverse, wherein it comprises: receiving the data uploading request, wherein the data uploading request carries the identity information of the real user; verifying the identity information of the real user, after the verification is passed, searching the virtual user corresponding to the real user in the virtual system, wherein the virtual system is a software system realized by a computer; after searching the virtual user, replying the response message, wherein the response message is used for indicating the real user to upload data; obtaining the data uploaded by the real user, and classifying the data to obtain the type of the data; and adjusting the attribute of the virtual user according to the type of the uploaded data and the data amount corresponding to each type.2. The method according to claim 1, wherein the step of verifying the identity information of the real user comprises: verifying the identity information of the real user according to the identity information of the real user. obtaining the hardware identification of the intelligent device sending the data uploading request, wherein the hardware identification is used for uniquely identifying the intelligent device; obtaining the pre-stored first identity information corresponding to the hardware identifier according to the hardware identifier of the intelligent device; judging whether the identity information of the real user is the same as the first identity information, if they are the same, the verification is passed, if not, the verification is failed.3. The method according to claim 2, wherein the step of obtaining the hardware identifier of the intelligent device sending the data uploading request comprises: according to the source network address in the received data uploading request, sending the obtaining message to the source of the data uploading request, wherein the obtaining message carries the authentication token, the authentication token is configured by the authentication server in advance; receiving the hardware identifier of the intelligent device of the source party sent by the source party, wherein the hardware identifier is sent after the source party sends the authentication token to the authentication server for authentication.4. The method according to claim 1, further comprising: extracting part of data from the data according to the predetermined condition, as the first part of data; extracting the second part of data from the data uploaded last time according to the predetermined condition, as the second part of data; combining the first part of data and the second part of data, and performing hash operation to the combined data to obtain the hash value; taking the hash value as the identification information of the data, and storing the identification information of the data and the data.5. The method according to any one of claims 1 to 1 to 4, wherein the type of the data comprises: the physiological parameter of the real user, the action data of the real user, the social attribute information of the real user and the work information of the real user, wherein the behavior data comprises: the action track of the real user and/or the real user processing the predetermined event, the social attribute information comprises: the change of the associated person of the real user and the social identity of the real user, the work information: the real user published text on the network, audio and video.6. A system for generating a virtual avatar by a user tag of metaverse, comprising: receiving module, for receiving the data uploading request, wherein the data uploading request carries the identity information of the real user; a searching module, for verifying the identity information of the real user, after the verification is passed, searching the virtual user corresponding to the real user in the virtual system, wherein the virtual system is a software system realized by a computer; a reply module, used for after searching the virtual user, reply response message, wherein the response message is used for indicating the real user to upload data; obtaining module, used for obtaining the data uploaded by the real user, and classifying the data to obtain the type of the data; an adjusting module for adjusting the attribute of the virtual user according to the type of the uploaded data and the data amount corresponding to each category.7. The system according to claim 6, wherein the searching module is used for: obtaining the hardware identification of the intelligent device sending the data uploading request, wherein the hardware identification is used for uniquely identifying the intelligent device; obtaining the pre-stored first identity information corresponding to the hardware identifier according to the hardware identifier of the intelligent device; judging whether the identity information of the real user is the same as the first identity information, if they are the same, the verification is passed, if not, the verification is failed.8. The system according to claim 7, wherein the searching module is used for: according to the source network address in the received data uploading request, sending the obtaining message to the source of the data uploading request, wherein the obtaining message carries the authentication token, the authentication token is configured by the authentication server in advance; receiving the hardware identifier of the intelligent device of the source party sent by the source party, wherein the hardware identifier is sent after the source party sends the authentication token to the authentication server for authentication.9. The system according to claim 6, further comprising: a storing module for extracting part of data from the data according to a predetermined condition, as the first part of data; extracting the second part of data from the data uploaded last time according to the predetermined condition, as the second part of data; combining the first part of data and the second part of data, and performing hash operation to the combined data to obtain the hash value; taking the hash value as the identification information of the data, and storing the identification information of the data and the data.10. The system according to any one of claims 1 to 6 to 9, wherein the type of the data comprises: the physiological parameter of the real user, the action data of the real user, the social attribute information of the real user and the work information of the real user, wherein the behavior data comprises: the action track of the real user and/or the real user processing the predetermined event, the social attribute information comprises: the change of the associated person of the real user and the social identity of the real user, the work information: the real user published text on the network, audio and video.</t>
  </si>
  <si>
    <t>Chai, Geyang</t>
  </si>
  <si>
    <t>CN114780868 B</t>
  </si>
  <si>
    <t>G06F0016953600</t>
  </si>
  <si>
    <t>G06F0016953600 | G06F0016958000 | G06Q0050010000</t>
  </si>
  <si>
    <t>G06F01695360</t>
  </si>
  <si>
    <t>G06F01695360 | G06F01695800 | G06Q05000000</t>
  </si>
  <si>
    <t>CN114780868A|CN114780868B</t>
  </si>
  <si>
    <t>CN114780868 A | CN114780868 B</t>
  </si>
  <si>
    <t>I-000227852099</t>
  </si>
  <si>
    <t>Application expired due to grant (CN114780868 B)</t>
  </si>
  <si>
    <t>https://patentscout.innography.com/share/9TTHuNEXMeQ7iq3FZQuMkA%3D%3D</t>
  </si>
  <si>
    <t>2022-07-22-PUBLICATION|2022-08-09-ENTRY INTO FORCE OF REQUEST FOR SUBSTANTIVE EXAMINATION|2022-09-13-PATENT GRANT</t>
  </si>
  <si>
    <t>https://patentscout.innography.com/share/9TTHuNEXMeQ7iq3FZQuMkA%3D%3D/download</t>
  </si>
  <si>
    <t>https://v3.espacenet.com/publicationDetails/biblio?CC=CN&amp;NR=114780868A&amp;KC=A&amp;FT=D&amp;date=20220722&amp;DB=EPODOC&amp;locale=</t>
  </si>
  <si>
    <t>CN114780868 A</t>
  </si>
  <si>
    <t>1.  1.  A method for generating virtual avatar by user tag of metaverse, wherein it comprises: receiving the data uploading request, wherein the data uploading request carries the identity information of the real user; verifying the identity information of the real user, after the verification is passed, searching the virtual user corresponding to the real user in the virtual system, wherein the virtual system is a software system realized by a computer; after searching the virtual user, replying the response message, wherein the response message is used for indicating the real user to upload data; obtaining the data uploaded by the real user, and classifying the data to obtain the type of the data; and adjusting the attribute of the virtual user according to the type of the uploaded data and the data amount corresponding to each type.</t>
  </si>
  <si>
    <t>6.  6.  A system for generating a virtual avatar by a user tag of metaverse, comprising: receiving module, for receiving the data uploading request, wherein the data uploading request carries the identity information of the real user; a searching module, for verifying the identity information of the real user, after the verification is passed, searching the virtual user corresponding to the real user in the virtual system, wherein the virtual system is a software system realized by a computer; a reply module, used for after searching the virtual user, reply response message, wherein the response message is used for indicating the real user to upload data; obtaining module, used for obtaining the data uploaded by the real user, and classifying the data to obtain the type of the data; an adjusting module for adjusting the attribute of the virtual user according to the type of the uploaded data and the data amount corresponding to each category.</t>
  </si>
  <si>
    <t>KR20060032409 A | KR101943585 B1 | KR102130750 B1 | KR20120011772 A | KR20210022944 A</t>
  </si>
  <si>
    <t>2022-08-12</t>
  </si>
  <si>
    <t>A system and method for generating an avatar and providing it to an external metaverse platform to update the avatar and provide NFT for the updated avatar receiving biometric information activity information and medical information of a user through a VR device and based on this an avatar can be created in virtual reality avatar hash information about the avatar is generated and an external blockchain network is requested to issue an NFT based on the avatar hash information and the NFT A system and method for generating an avatar based on user information and providing an NFT by receiving the avatar and providing the NFT for the avatar.</t>
  </si>
  <si>
    <t>System and method for generating an avatar and provides it to an external metaverse platform to update the avatar and provide nft for the updated avatar</t>
  </si>
  <si>
    <t>KR20220027136A</t>
  </si>
  <si>
    <t>A system that generates an avatar and provides it to an external metaverse platform to update the avatar and provide NFT for the updated avatar. HMD; a camera device that captures the user's appearance and derives image information of the user; an EEG which is attached to the user's head and measures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user;NFT by transmitting original avatar hash information including object information related to the unique properties of the avatar, input information related to the information input by the user, and original information related to the original state of the avatar to an external blockchain network. an original avatar NFT providing unit that requests generation and provides the generated NFT to the user;an avatar update unit that provides information about the avatar to an external metaverse platform, receives interaction information that a user has interacted with using the avatar on the external metaverse platform, and updates the avatar; and updated avatar hash information including object information related to unique attributes of the updated avatar, input information related to information input by the user, and update information related to current and previous version information of the updated avatar. an update avatar NFT providing unit that transmits a request to an external blockchain network to request NFT generation and provides to the user, wherein the VR service unit is available only to the user and provides the plurality of virtual reality contents A virtual reality realization unit that implements the virtual reality being; a VR communication unit that communicates with the VR device to exchange information; image information received through the camera device received from the VR device; EEG information of the user measured by the EEG;and the user's pulse information measured by the pulse meter; including, user's biometric information; and a user information input unit for receiving user information including; and activity information and medical information received from the user's smartphone; an avatar generator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that determines aging information of the avatar by inputting it based on the biometric information, and adds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can perform user's physical activity reinforcement training; a third content providing unit for providing content for which a type of content is determined based on the user's disease information and training for a body part or cognitive ability requiring rehabilitation training;The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an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 system.</t>
  </si>
  <si>
    <t>A system that generates an avatar and provides it to an external metaverse platform to update the avatar and provide NFT for the updated avatar. HMD; a camera device that captures the user's appearance and derives image information of the user; an EEG which is attached to the user's head and measures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user;NFT by transmitting original avatar hash information including object information related to the unique properties of the avatar, input information related to the information input by the user, and original information related to the original state of the avatar to an external blockchain network. an original avatar NFT providing unit that requests generation and provides the generated NFT to the user;an avatar update unit that provides information about the avatar to an external metaverse platform, receives interaction information that a user has interacted with using the avatar on the external metaverse platform, and updates the avatar; and updated avatar hash information including object information related to unique attributes of the updated avatar, input information related to information input by the user, and update information related to current and previous version information of the updated avatar. an update avatar NFT providing unit that transmits a request to an external blockchain network to request NFT generation and provides to the user, wherein the VR service unit is available only to the user and provides the plurality of virtual reality contents A virtual reality realization unit that implements the virtual reality being; a VR communication unit that communicates with the VR device to exchange information; image information received through the camera device received from the VR device; EEG information of the user measured by the EEG;
and the user's pulse information measured by the pulse meter; including, user's biometric information; and a user information input unit for receiving user information including; and activity information and medical information received from the user's smartphone; an avatar generator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that determines aging information of the avatar by inputting it based on the biometric information, and adds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can perform user's physical activity reinforcement training;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an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 system.
delete
The method according to claim 1, wherein the updated avatar NFT providing unit, the updated avatar hash information generating step of generating the updated avatar hash information by applying a hash function to the information on the updated avatar;an update avatar NFT generation request step of transmitting the updated avatar hash information to the external blockchain network to request NFT generation for the updated avatar; and an updated avatar NFT receiving step of receiving the NFT generated by the external blockchain network.
The method according to claim 1, wherein the version information includes: a generated file of the corresponding avatar version, a sequence number of the corresponding avatar version, a version name of the corresponding avatar version, the date and time when the corresponding avatar version was updated, and obtained from different angles with respect to the corresponding version of the avatar. Multiple photos, skin condition information of the corresponding version of the avatar, hair condition information, the degree of curvature of the skeleton, appearance characteristic information including eye inclination and mouth shape, aging information of the corresponding version of the avatar, and the moving speed of the corresponding version of the avatar A system for providing an NFT for an updated avatar, comprising:
The method according to claim 3, wherein the updated avatar hash information includes object information, input information, and update information, and the object information includes identification information of a user who created the original avatar of the updated avatar, and the original source of the updated avatar. It includes the date and time the avatar was created and the name of the original avatar of the updated avatar, and the input information includes the user's biometric information received by the VR device, activity information received by the user's smartphone, and medical information receiving information, and disease information based on the medical information including one or more medical history input by the user, wherein the updated information is updated every time the avatar is updated , a system for providing an NFT for an updated avatar, including version information of the current version of the updated avatar and all previous version information.
The method according to claim 1, wherein the avatar update unit provides an avatar information providing step of providing information about the avatar to an external metaverse platform;an interaction information receiving step of receiving interaction information corresponding to the avatar from the external metaverse platform; and an avatar update step of extracting avatar-related information from the interaction information and updating the avatar based on the avatar-related information.
delete
delete
delete
The method according to claim 1, wherein the first content provided to the user by the first content providing unit is content for reinforcing the user's cognitive ability and concentration, including finding a wrong picture, arithmetic, and jigsaw puzzle, and the second content The second content provided to the user by the content providing unit is content capable of performing the user's physical activity strengthening training including walking, stretching and squatting, and the third content provided to the user by the third content providing unit 3 content, the user performs intensive training on the injured body part, or performs intensive training on cognitive ability enhancement including the user's memory, judgment, language ability and the ability to grasp space and time. A system that provides NFTs for updated avatars, content for users to train in areas of weakness.
The method according to claim 1, wherein the aging information control unit, Concentration score calculating step of calculating an intensity score based on the user's EEG information measured while the user performs the first content;an activity score calculating step of calculating an activity score based on the user's pulse information and EMG information measured while the user performs the second content;an execution result score calculation step of calculating a first score, a second score, and a third score, respectively, based on the execution result of the first content, the execution result of the second content, and the execution result of the third content; and an aging information reduction step of reducing aging information based on the sum of the first score, the second score, the third score, the concentration score, and the activity score. A system that provides NFTs.
A method of generating an avatar and providing it to an external metaverse platform to update the avatar, and to provide an NFT for an updated avatar implemented in a system that provides an NFT for the updated avatar, the system comprising: an HMD that provides images and sounds for virtual reality and senses the user's voice; a camera device that captures the user's appearance and derives image information of the user; an EEG which is attached to the user's head and measures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user;NFT by transmitting original avatar hash information including object information related to the unique properties of the avatar, input information related to the information input by the user, and original information related to the original state of the avatar to an external blockchain network. an original avatar NFT providing unit that requests generation and provides the generated NFT to the user;an avatar update unit that provides information about the avatar to an external metaverse platform, receives interaction information that a user has interacted with using the avatar on the external metaverse platform, and updates the avatar; and updated avatar hash information including object information related to unique attributes of the updated avatar, input information related to information input by the user, and update information related to current and previous version information of the updated avatar. an update avatar NFT providing unit that requests NFT generation by transmitting to an external blockchain network and provides it to the user, wherein the method is available only to the user by the VR service unit A virtual reality implementation step of implementing virtual reality in which virtual reality content is provided;a VR communication step of communicating with the VR device and exchanging information by the VR service unit;the user's biometric information received from the VR device by the VR service unit; and a user information input step of receiving user information including; and activity information and medical information received from the user's smartphone;an avatar generation step of generating, by the VR service unit, an avatar of the user based on the user information in the virtual reality implemented by the virtual reality realization step; and providing, by the VR service unit, the plurality of contents to the avatar created in virtual reality, and updating the appearance of the avatar whenever performing the VR contents providing step; wherein the avatar creation step comprises: , deriving each appearance characteristic information from a plurality of the image information, averaging the plurality of appearance characteristic information to derive a character determination parameter in the form of a one-dimensional vector, and based on the character determination parameter, the basic avatar Basic appearance determining step of determining the appearance; an aging information determining step of determining aging information of the avatar by inputting it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step;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step of determining the moving speed of the avatar in this manner, wherein the aging information determining step includes, in the image information input through the camera device, the user's skin condition information, hair condition information, and a bent skeleton a first aging information step of deriving first aging information including a degree;a second aging information step of deriving second aging information including the stability of the EEG and the concentration of the user from the EEG information of the user measured with the EEG;a third aging information step of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Comprehensive judgment module step of deriving a; including, wherein the VR content providing step is to provide content for which the difficulty is determined based on the aging information of the user, and the user's cognitive ability and concentration reinforcement training can be performed , a first content providing step; a second content providing step of determining a difficulty level based on the activity information of the corresponding user and providing content capable of performing the user's physical activity reinforcement training; a third content providing step of providing content in which a type of content is determined based on the disease information of the user and training for a body part or cognitive ability requiring rehabilitation training is performed;
The result of performing the contents provided in the first contents providing step, the second contents providing step, and the third contents providing step, EEG information measured by the EEG measuring device during the execution period for the contents, and An aging information control step of calculating one or more scores based on the pulse information measured by the pulse meter, and adjusting the aging information according to the one or more scores; and an avatar appearance update step of updating the appearance of the user's avatar by adjusting the first graphic effect according to the adjusted aging information by the aging information adjustment step; Way.</t>
  </si>
  <si>
    <t>G06Q05010000 | A61B00502400 | A61B00511000 | A61B00536900 | G02B02701000 | G06F02144000 | G06N00304000 | G06T01340000 | G06T01920000 | G16H02030000 | H04L00932000</t>
  </si>
  <si>
    <t>KR102432248B1</t>
  </si>
  <si>
    <t>KR102432248 B1</t>
  </si>
  <si>
    <t>I-000228833035</t>
  </si>
  <si>
    <t>https://patentscout.innography.com/share/thCn7QIHLzkjUnEHX-EaRQ%3D%3D</t>
  </si>
  <si>
    <t>2022-08-04-DECISION TO GRANT OR REGISTRATION OF PATENT RIGHT|2022-08-09-WRITTEN DECISION TO GRANT</t>
  </si>
  <si>
    <t>https://patentscout.innography.com/share/thCn7QIHLzkjUnEHX-EaRQ%3D%3D/download</t>
  </si>
  <si>
    <t>https://v3.espacenet.com/publicationDetails/biblio?CC=KR&amp;NR=102432248B1&amp;KC=B1&amp;FT=D&amp;date=20220812&amp;DB=EPODOC&amp;locale=</t>
  </si>
  <si>
    <t>KR20102432248 B1</t>
  </si>
  <si>
    <t>1.  A system that generates an avatar and provides it to an external metaverse platform to update the avatar and provide NFT for the updated avatar. HMD; a camera device that captures the user's appearance and derives image information of the user; an EEG which is attached to the user's head and measures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user;NFT by transmitting original avatar hash information including object information related to the unique properties of the avatar, input information related to the information input by the user, and original information related to the original state of the avatar to an external blockchain network. an original avatar NFT providing unit that requests generation and provides the generated NFT to the user;an avatar update unit that provides information about the avatar to an external metaverse platform, receives interaction information that a user has interacted with using the avatar on the external metaverse platform, and updates the avatar; and updated avatar hash information including object information related to unique attributes of the updated avatar, input information related to information input by the user, and update information related to current and previous version information of the updated avatar. an update avatar NFT providing unit that transmits a request to an external blockchain network to request NFT generation and provides to the user, wherein the VR service unit is available only to the user and provides the plurality of virtual reality contents A virtual reality realization unit that implements the virtual reality being; a VR communication unit that communicates with the VR device to exchange information; image information received through the camera device received from the VR device; EEG information of the user measured by the EEG;
and the user's pulse information measured by the pulse meter; including, user's biometric information; and a user information input unit for receiving user information including; and activity information and medical information received from the user's smartphone; an avatar generator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that determines aging information of the avatar by inputting it based on the biometric information, and adds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can perform user's physical activity reinforcement training;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an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 system.</t>
  </si>
  <si>
    <t>12.  A method of generating an avatar and providing it to an external metaverse platform to update the avatar, and to provide an NFT for an updated avatar implemented in a system that provides an NFT for the updated avatar, the system comprising: an HMD that provides images and sounds for virtual reality and senses the user's voice; a camera device that captures the user's appearance and derives image information of the user; an EEG which is attached to the user's head and measures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generates an avatar of the user, and provides a plurality of virtual reality contents to the user;NFT by transmitting original avatar hash information including object information related to the unique properties of the avatar, input information related to the information input by the user, and original information related to the original state of the avatar to an external blockchain network. an original avatar NFT providing unit that requests generation and provides the generated NFT to the user;an avatar update unit that provides information about the avatar to an external metaverse platform, receives interaction information that a user has interacted with using the avatar on the external metaverse platform, and updates the avatar; and updated avatar hash information including object information related to unique attributes of the updated avatar, input information related to information input by the user, and update information related to current and previous version information of the updated avatar. an update avatar NFT providing unit that requests NFT generation by transmitting to an external blockchain network and provides it to the user, wherein the method is available only to the user by the VR service unit A virtual reality implementation step of implementing virtual reality in which virtual reality content is provided;a VR communication step of communicating with the VR device and exchanging information by the VR service unit;the user's biometric information received from the VR device by the VR service unit; and a user information input step of receiving user information including; and activity information and medical information received from the user's smartphone;an avatar generation step of generating, by the VR service unit, an avatar of the user based on the user information in the virtual reality implemented by the virtual reality realization step; and providing, by the VR service unit, the plurality of contents to the avatar created in virtual reality, and updating the appearance of the avatar whenever performing the VR contents providing step; wherein the avatar creation step comprises: , deriving each appearance characteristic information from a plurality of the image information, averaging the plurality of appearance characteristic information to derive a character determination parameter in the form of a one-dimensional vector, and based on the character determination parameter, the basic avatar Basic appearance determining step of determining the appearance; an aging information determining step of determining aging information of the avatar by inputting it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step;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step of determining the moving speed of the avatar in this manner, wherein the aging information determining step includes, in the image information input through the camera device, the user's skin condition information, hair condition information, and a bent skeleton a first aging information step of deriving first aging information including a degree;a second aging information step of deriving second aging information including the stability of the EEG and the concentration of the user from the EEG information of the user measured with the EEG;a third aging information step of deriving third aging information including the user's pulse rate per minute, pulse regularity, and pulse pressure from the user's pulse information measured by the pulse meter; And the first aging information, the second aging information, and the third aging information is given a score of 1 to 10 for each, and aging information comprising a summation score obtained by summing each score and each score Comprehensive judgment module step of deriving a; including, wherein the VR content providing step is to provide content for which the difficulty is determined based on the aging information of the user, and the user's cognitive ability and concentration reinforcement training can be performed , a first content providing step; a second content providing step of determining a difficulty level based on the activity information of the corresponding user and providing content capable of performing the user's physical activity reinforcement training; a third content providing step of providing content in which a type of content is determined based on the disease information of the user and training for a body part or cognitive ability requiring rehabilitation training is performed;
The result of performing the contents provided in the first contents providing step, the second contents providing step, and the third contents providing step, EEG information measured by the EEG measuring device during the execution period for the contents, and An aging information control step of calculating one or more scores based on the pulse information measured by the pulse meter, and adjusting the aging information according to the one or more scores; and an avatar appearance update step of updating the appearance of the user's avatar by adjusting the first graphic effect according to the adjusted aging information by the aging information adjustment step; Way.</t>
  </si>
  <si>
    <t>KR102193193 B1 | KR102272650 B1 | KR102316079 B1 | KR20130131179 A</t>
  </si>
  <si>
    <t>2022-02-17</t>
  </si>
  <si>
    <t>2042-02-17</t>
  </si>
  <si>
    <t>It relates to a product service providing apparatus in a metaverse virtual residential space based on measurement and an apparatus for providing product service in a metaverse virtual residential space based on measurement is related to residential space information and purchase desired products from a user terminal possessed by a user. an input unit for receiving product installation demonstration condition information; Based on the inputted residential space information a virtual residential space corresponding to the residential space information is created on the metaverse space and the experience product data generated to correspond to the product installation demonstration condition information is applied to the virtual residential space. a content management unit that creates and manages product experience content; and a control unit that provides the generated product experience content to the user terminal and controls the display of the product experience content to the user terminal according to a user&amp;#39;s control signal.</t>
  </si>
  <si>
    <t>Product service provision apparatus in the metaverse virtual residential space based on actual measurement</t>
  </si>
  <si>
    <t>Sysretail Co., Ltd.</t>
  </si>
  <si>
    <t>SYSRETAIL CO., LTD.</t>
  </si>
  <si>
    <t>KR20220021059A</t>
  </si>
  <si>
    <t>An apparatus for providing product service in an actual measurement-based metaverse virtual residential space, comprising: an input unit for receiving residential space information and product installation demonstration condition information regarding a desired product to be purchased from a user terminal possessed by a user;Based on the inputted residential space information, a virtual residential space corresponding to the residential space information is created on the metaverse space, and the experience product data generated to correspond to the product installation demonstration condition information is applied to the virtual residential space. a content management unit that creates and manages product experience content; and a control unit that provides the generated product experience content to the user terminal, and controls the display of the product experience content to the user terminal according to the user's control signal, wherein the residential space information includes: It is input by uploading the measurement data of the residential space through the terminal, and the user terminal generates the desired purchase product in the metaverse space based on the actual measurement before actually purchasing the desired purchase product among the products sold in the online shopping mall. It is a terminal possessed by a user who decides whether to purchase a product for the desired product after experiencing a simulation experience in advance in a virtual residential space, and the control unit, a product model search request from a user who has confirmed the displayed product experience content If done, in response to the product model search request, providing a list of at least one matching product model information that matches the experience product data in the displayed product experience content on the screen of the user terminal, When a purchase request is made for the matching product model information selected by the user among the at least one matching product model information in the list, a product payment process is performed for the matching product model information for which the purchase request is made in response to the purchase request, When a request is made to provide review information for a product to be purchased, which is a first product with respect to the selected matching product model information, review information corresponding to the first product is obtained from a plurality of online shopping malls selling the same product as the first product. The first product-related integrated review information is provided, but after the integrated review information of the first product is displayed on the screen of the user terminal, when a user input is made to the purchase trend providing menu displayed on one area of the screen, the integration of the first product In relation to review information, graph information on the number of purchases for each period set in advance is provided on the screen of the user terminal, When product type information about the first product is further inputted from the user terminal when the user inputs to the purchase trend providing menu, graph information on the number of purchases per preset period for each product type information is provided, or related to the first product Among the integrated review information, only integrated review information related to the product type information is extracted and provided to the user in the form of a list, the preset period means each date, month and year, and the product type information is the first product color information and/or size information of, and the control unit is configured such that, in the product experience content displayed on the user terminal, the arrangement position of the experience product data in the product experience content arranged by the user is identified as the first location,, when a user requests to confirm the placement location of the experience product data for the first location, the characteristics of the experience product data, environmental information of the real living space corresponding to the virtual living space, In consideration of the characteristics of existing product data pre-arranged in the virtual residential space, current time information at which the first location is identified, and information on surrounding buildings of the real residential space, sunlight is reflected on the identified first location After determining the maintenance time, it is determined whether the placement location of the experience product data for the first location is appropriate based on the identified sunlight retention time, but if it is confirmed that the first location does not meet the preset suitable condition, A second arrangement location that satisfies the preset suitable condition as another arrangement position where it is determined that the arrangement position of the experience product data with respect to the first position is inappropriate and the arrangement position of the experience product data in the virtual living space is determined to be suitable The location is displayed and provided as recommended placement location information on the product experience content, and the preset suitable condition is set differently according to the characteristics of the experience product data, When the experience product data is a product that requires reception of sunlight or a product that is not affected by exposure to sunlight, the sunlight retention time for the corresponding location in the actual residential space corresponding to the first location is set in advance. If the condition appears longer than 1 hour, and the experience product data is a product for which exposure to sunlight is to be minimized, a second time in which the sunlight retention time for the corresponding location in the actual residential space corresponding to the first location is preset is a condition that appears less than, the first location is a location that exists in an inner neighboring location of the first window data in the virtual living space, and the second location is a location different from the first window data in the virtual residential space. It is a position that exists in an inner neighboring position of the located second window data, The characteristics of the experience product data are characterized by whether the product corresponding to the experience product data is a product that is affected by exposure to sunlight, including whether or not the product is exposed to sunlight, and whether it is a product that is not affected by exposure to sunlight. means, and the product affected by the exposure to sunlight includes frozen food, refrigerated food, and furniture made of a material that deteriorates when exposed to sunlight for a certain period of time as a product for which exposure to sunlight should be minimized, Products that are not affected by the exposure to sunlight include a TV and a washing machine, products that require reception of sunlight include plants, and the environmental information of the actual living space is a temperature sensor disposed in the actual living space. And temperature and humidity information obtained by using a humidity sensor, the actual measurement-based metaverse product service providing device in the virtual residential space.</t>
  </si>
  <si>
    <t>An apparatus for providing product service in an actual measurement-based metaverse virtual residential space, comprising: an input unit for receiving residential space information and product installation demonstration condition information regarding a desired product to be purchased from a user terminal possessed by a user;Based on the inputted residential space information, a virtual residential space corresponding to the residential space information is created on the metaverse space, and the experience product data generated to correspond to the product installation demonstration condition information is applied to the virtual residential space. a content management unit that creates and manages product experience content; and a control unit that provides the generated product experience content to the user terminal, and controls the display of the product experience content to the user terminal according to the user's control signal, wherein the residential space information includes: It is input by uploading the measurement data of the residential space through the terminal, and the user terminal generates the desired purchase product in the metaverse space based on the actual measurement before actually purchasing the desired purchase product among the products sold in the online shopping mall. It is a terminal possessed by a user who decides whether to purchase a product for the desired product after experiencing a simulation experience in advance in a virtual residential space, and the control unit, a product model search request from a user who has confirmed the displayed product experience content If done, in response to the product model search request, providing a list of at least one matching product model information that matches the experience product data in the displayed product experience content on the screen of the user terminal, When a purchase request is made for the matching product model information selected by the user among the at least one matching product model information in the list, a product payment process is performed for the matching product model information for which the purchase request is made in response to the purchase request, When a request is made to provide review information for a product to be purchased, which is a first product with respect to the selected matching product model information, review information corresponding to the first product is obtained from a plurality of online shopping malls selling the same product as the first product. The first product-related integrated review information is provided, but after the integrated review information of the first product is displayed on the screen of the user terminal, when a user input is made to the purchase trend providing menu displayed on one area of the screen, the integration of the first product In relation to review information, graph information on the number of purchases for each period set in advance is provided on the screen of the user terminal, When product type information about the first product is further inputted from the user terminal when the user inputs to the purchase trend providing menu, graph information on the number of purchases per preset period for each product type information is provided, or related to the first product Among the integrated review information, only integrated review information related to the product type information is extracted and provided to the user in the form of a list, the preset period means each date, month and year, and the product type information is the first product color information and/or size information of, and the control unit is configured such that, in the product experience content displayed on the user terminal, the arrangement position of the experience product data in the product experience content arranged by the user is identified as the first location,, when a user requests to confirm the placement location of the experience product data for the first location, the characteristics of the experience product data, environmental information of the real living space corresponding to the virtual living space, In consideration of the characteristics of existing product data pre-arranged in the virtual residential space, current time information at which the first location is identified, and information on surrounding buildings of the real residential space, sunlight is reflected on the identified first location After determining the maintenance time, it is determined whether the placement location of the experience product data for the first location is appropriate based on the identified sunlight retention time, but if it is confirmed that the first location does not meet the preset suitable condition, A second arrangement location that satisfies the preset suitable condition as another arrangement position where it is determined that the arrangement position of the experience product data with respect to the first position is inappropriate and the arrangement position of the experience product data in the virtual living space is determined to be suitable The location is displayed and provided as recommended placement location information on the product experience content, and the preset suitable condition is set differently according to the characteristics of the experience product data, When the experience product data is a product that requires reception of sunlight or a product that is not affected by exposure to sunlight, the sunlight retention time for the corresponding location in the actual residential space corresponding to the first location is set in advance. If the condition appears longer than 1 hour, and the experience product data is a product for which exposure to sunlight is to be minimized, a second time in which the sunlight retention time for the corresponding location in the actual residential space corresponding to the first location is preset is a condition that appears less than, the first location is a location that exists in an inner neighboring location of the first window data in the virtual living space, and the second location is a location different from the first window data in the virtual residential space. It is a position that exists in an inner neighboring position of the located second window data, The characteristics of the experience product data are characterized by whether the product corresponding to the experience product data is a product that is affected by exposure to sunlight, including whether or not the product is exposed to sunlight, and whether it is a product that is not affected by exposure to sunlight. means, and the product affected by the exposure to sunlight includes frozen food, refrigerated food, and furniture made of a material that deteriorates when exposed to sunlight for a certain period of time as a product for which exposure to sunlight should be minimized, Products that are not affected by the exposure to sunlight include a TV and a washing machine, products that require reception of sunlight include plants, and the environmental information of the actual living space is a temperature sensor disposed in the actual living space. And temperature and humidity information obtained by using a humidity sensor, the actual measurement-based metaverse product service providing device in the virtual residential space.
According to claim 1, wherein the residential space information is further input by a user selecting any one sample residential space information from among a plurality of sample residential space information, providing a product service in a measurement-based metaverse virtual residential space Device.
The method of claim 1, wherein the product installation demonstration condition information includes a plurality of condition menus including product types, product specifications, product installation requirements, and demonstration contents related to the desired product to be purchased, and wherein the control unit comprises: Display product experience contents including experience product data generated based on selection information for a plurality of condition menus selected by the user among a plurality of selectable items in each menu, and input changed selection information for each condition menu from the user If this is done, the product service providing device in the metaverse virtual residential space based on measurement is to update the displayed product experience content to include the experience product data regenerated based on the changed selection information.
delete
delete</t>
  </si>
  <si>
    <t>Yun, Gyu Hwan</t>
  </si>
  <si>
    <t>G06Q03006000 | G06Q05010000 | G06T01900000</t>
  </si>
  <si>
    <t>KR102442042B1</t>
  </si>
  <si>
    <t>KR102442042 B1</t>
  </si>
  <si>
    <t>I-000230097606</t>
  </si>
  <si>
    <t>20 years from 2022-02-17 (file date)</t>
  </si>
  <si>
    <t>https://patentscout.innography.com/share/7fasoaO2gmLi0dU4hateMQ%3D%3D</t>
  </si>
  <si>
    <t>2022-08-05-DECISION TO GRANT OR REGISTRATION OF PATENT RIGHT|2022-09-05-WRITTEN DECISION TO GRANT</t>
  </si>
  <si>
    <t>https://patentscout.innography.com/share/7fasoaO2gmLi0dU4hateMQ%3D%3D/download</t>
  </si>
  <si>
    <t>https://v3.espacenet.com/publicationDetails/biblio?CC=KR&amp;NR=102442042B1&amp;KC=B1&amp;FT=D&amp;date=20220908&amp;DB=EPODOC&amp;locale=</t>
  </si>
  <si>
    <t>KR20102442042 B1</t>
  </si>
  <si>
    <t>1.  An apparatus for providing product service in an actual measurement-based metaverse virtual residential space, comprising: an input unit for receiving residential space information and product installation demonstration condition information regarding a desired product to be purchased from a user terminal possessed by a user;Based on the inputted residential space information, a virtual residential space corresponding to the residential space information is created on the metaverse space, and the experience product data generated to correspond to the product installation demonstration condition information is applied to the virtual residential space. a content management unit that creates and manages product experience content; and a control unit that provides the generated product experience content to the user terminal, and controls the display of the product experience content to the user terminal according to the user's control signal, wherein the residential space information includes: It is input by uploading the measurement data of the residential space through the terminal, and the user terminal generates the desired purchase product in the metaverse space based on the actual measurement before actually purchasing the desired purchase product among the products sold in the online shopping mall. It is a terminal possessed by a user who decides whether to purchase a product for the desired product after experiencing a simulation experience in advance in a virtual residential space, and the control unit, a product model search request from a user who has confirmed the displayed product experience content If done, in response to the product model search request, providing a list of at least one matching product model information that matches the experience product data in the displayed product experience content on the screen of the user terminal, When a purchase request is made for the matching product model information selected by the user among the at least one matching product model information in the list, a product payment process is performed for the matching product model information for which the purchase request is made in response to the purchase request, When a request is made to provide review information for a product to be purchased, which is a first product with respect to the selected matching product model information, review information corresponding to the first product is obtained from a plurality of online shopping malls selling the same product as the first product. The first product-related integrated review information is provided, but after the integrated review information of the first product is displayed on the screen of the user terminal, when a user input is made to the purchase trend providing menu displayed on one area of the screen, the integration of the first product In relation to review information, graph information on the number of purchases for each period set in advance is provided on the screen of the user terminal, When product type information about the first product is further inputted from the user terminal when the user inputs to the purchase trend providing menu, graph information on the number of purchases per preset period for each product type information is provided, or related to the first product Among the integrated review information, only integrated review information related to the product type information is extracted and provided to the user in the form of a list, the preset period means each date, month and year, and the product type information is the first product color information and/or size information of, and the control unit is configured such that, in the product experience content displayed on the user terminal, the arrangement position of the experience product data in the product experience content arranged by the user is identified as the first location,, when a user requests to confirm the placement location of the experience product data for the first location, the characteristics of the experience product data, environmental information of the real living space corresponding to the virtual living space, In consideration of the characteristics of existing product data pre-arranged in the virtual residential space, current time information at which the first location is identified, and information on surrounding buildings of the real residential space, sunlight is reflected on the identified first location After determining the maintenance time, it is determined whether the placement location of the experience product data for the first location is appropriate based on the identified sunlight retention time, but if it is confirmed that the first location does not meet the preset suitable condition, A second arrangement location that satisfies the preset suitable condition as another arrangement position where it is determined that the arrangement position of the experience product data with respect to the first position is inappropriate and the arrangement position of the experience product data in the virtual living space is determined to be suitable The location is displayed and provided as recommended placement location information on the product experience content, and the preset suitable condition is set differently according to the characteristics of the experience product data, When the experience product data is a product that requires reception of sunlight or a product that is not affected by exposure to sunlight, the sunlight retention time for the corresponding location in the actual residential space corresponding to the first location is set in advance. If the condition appears longer than 1 hour, and the experience product data is a product for which exposure to sunlight is to be minimized, a second time in which the sunlight retention time for the corresponding location in the actual residential space corresponding to the first location is preset is a condition that appears less than, the first location is a location that exists in an inner neighboring location of the first window data in the virtual living space, and the second location is a location different from the first window data in the virtual residential space. It is a position that exists in an inner neighboring position of the located second window data, The characteristics of the experience product data are characterized by whether the product corresponding to the experience product data is a product that is affected by exposure to sunlight, including whether or not the product is exposed to sunlight, and whether it is a product that is not affected by exposure to sunlight. means, and the product affected by the exposure to sunlight includes frozen food, refrigerated food, and furniture made of a material that deteriorates when exposed to sunlight for a certain period of time as a product for which exposure to sunlight should be minimized, Products that are not affected by the exposure to sunlight include a TV and a washing machine, products that require reception of sunlight include plants, and the environmental information of the actual living space is a temperature sensor disposed in the actual living space. And temperature and humidity information obtained by using a humidity sensor, the actual measurement-based metaverse product service providing device in the virtual residential space.</t>
  </si>
  <si>
    <t>KR20070022393 A | KR20190110072 A | KR20200083004 A | KR20210055252 A | KR20210096821 A</t>
  </si>
  <si>
    <t>2022-11-09</t>
  </si>
  <si>
    <t>2041-11-24</t>
  </si>
  <si>
    <t>A complex machine training education and promotion system in mixed reality using metaverse is presented. The complex machinery training education and promotion system in mixed reality using the metaverse proposed in the present invention is a metaverse mixed reality for maintenance training education and promotion of machinery including aircraft through smart glasses. A simulation performing unit that performs 3D simulation by providing a digital twin for performing a simulation on a specific visual element for the maintenance training education and promotion a 2D manual a work instruction of the 2D manual and a simulation (SCM) A learning unit providing artificial intelligence knowledge based on learning information including a cost model) and a neural network task for processing a voice request to perform the 3D simulation based on the provided artificial intelligence knowledge and the digital twin and a neurolinguistic speech execution unit that performs verbal reasoning and sends visual and voice feedback to the user to notify the user of the processing and completion of the requested task.</t>
  </si>
  <si>
    <t>Complex machinery training and education and advertising system in mixed reality using metaverse platform</t>
  </si>
  <si>
    <t>reality|advertising system|twin|executor|speech text</t>
  </si>
  <si>
    <t>Inha University Research And Business Foundation</t>
  </si>
  <si>
    <t>Inha University</t>
  </si>
  <si>
    <t>KR20210163052A</t>
  </si>
  <si>
    <t>In metaverse mixed reality for maintenance training, education and promotion of machinery including aircraft, digital twin (a simulation execution unit that provides a digital twin) to perform 3D simulation; a learning unit providing artificial intelligence knowledge based on learning information including a 2D manual, a work instruction of the 2D manual, and a simulation cost model (SCM); and performing neural network tasks and verbal reasoning for processing voice requests to perform the 3D simulation based on the provided artificial intelligence knowledge, the digital twin, and sending visual and voice feedback to the user to process the requested tasks and a neurolinguistic voice executor notifying of completion, wherein the neural linguistic voice executor triggers the neuro-language voice executor so that a user wearing smart glasses records his/her audio request, and the neuro-language voice executor triggers a dynamic length audio recorder that detects the phrase and invokes a dynamic length audio recording algorithm to process it to generate audio data from the voice signal stream output from the microphone; A speech-text network that converts the audio data into text and transmits it to a text-program network in the form of speech-text for automatic speech recognition - The speech-text network is an Automatic Speech Recognition neural network -; a text-program network comprising functions and parameters for converting the speech-text into an executable program sequence of a domain-specific language; and a language program executor that notifies the user of the processing and completion of the requested task by sending visual and audio feedback to the user.</t>
  </si>
  <si>
    <t>In metaverse mixed reality for maintenance training, education and promotion of machinery including aircraft, digital twin (a simulation execution unit that provides a digital twin) to perform 3D simulation; a learning unit providing artificial intelligence knowledge based on learning information including a 2D manual, a work instruction of the 2D manual, and a simulation cost model (SCM); and performing neural network tasks and verbal reasoning for processing voice requests to perform the 3D simulation based on the provided artificial intelligence knowledge, the digital twin, and sending visual and voice feedback to the user to process the requested tasks and a neurolinguistic voice executor notifying of completion, wherein the neural linguistic voice executor triggers the neuro-language voice executor so that a user wearing smart glasses records his/her audio request, and the neuro-language voice executor triggers a dynamic length audio recorder that detects the phrase and invokes a dynamic length audio recording algorithm to process it to generate audio data from the voice signal stream output from the microphone; A speech-text network that converts the audio data into text and transmits it to a text-program network in the form of speech-text for automatic speech recognition - The speech-text network is an Automatic Speech Recognition neural network -; a text-program network comprising functions and parameters for converting the speech-text into an executable program sequence of a domain-specific language; and a language program executor that notifies the user of the processing and completion of the requested task by sending visual and audio feedback to the user.
delete
The method according to claim 1, wherein the text-program network converts a word of a text into a request vector using a General Vocabulary for matching a word in an educational dataset, and transforms the request vector into a program vector;, the program vector is a training, education and promotion system in mixed reality using a metaverse platform that includes a reference to a component of a domain specific language used to generate a program.
The method according to claim 1, wherein the language program executor uses a program to be executed as an input, each program is composed of a function and corresponding parameters, and when an iteration is input for each program of a given program, the function and the parameters are Extracted, a variable (Prev) describing the result of the previous iteration is added to the parameters, and when the function and parameters are ready, the Execute function calls each function and passes the extracted parameters, each function returns a return value. Therefore, the variable (Prev) is updated at each iteration, and a given command is executed based on the knowledge extracted from the manual to notify the user about the processing and completion of the requested task by sending visual and audio feedback to the program. Training, education and promotion system in mixed reality using the applied metaverse platform.
In metaverse mixed reality for maintenance training, education and promotion of machinery including aircraft, digital twin (performing a 3D simulation by providing a digital twin) to the simulation execution unit; providing artificial intelligence knowledge based on learning information including a 2D manual, a work order of the 2D manual, and a simulation cost model (SCM) through a learning unit; And in order to perform the 3D simulation based on the provided artificial intelligence knowledge and the digital twin, a neural network model for processing a voice request by a neural language voice execution unit and a symbolic artificial intelligence knowledge inference are performed together, and to the user Sending visual and voice feedback to notify about the processing and completion of the requested task; The step of performing the task of the neural network and the verbal inference includes triggering the neural speech executor so that the user wearing the smart glasses records his/her audio request, the neural linguistic voice executor detects the trigger phrase, and a dynamic length audio recording algorithm processing to generate audio data from the voice signal stream output from the microphone by calling; converting the audio data into text through a speech-text network and transmitting the audio data to a text-program network in the form of speech-text for automatic speech recognition - The speech-text network is an automatic speech recognition neural network)lim-; converting the speech-text into an executable program sequence based on artificial intelligence domain knowledge through a text-program network composed of functions and parameters; and sending visual and audio feedback to the user through the language program executor to notify the user of the processing and completion of the requested task.
delete
6. The method of claim 5, wherein converting the speech-text into an executable program sequence of a domain-specific language via a text-program network composed of functions and parameters comprises: matching words in text with words in an educational dataset; Transform into a request vector using a general vocabulary for Training, education and promotion methods in mixed reality using the metaverse platform including
6. The method of claim 5, wherein the step of sending visual and audio feedback to the user via the language program executor to notify the user of the processing and completion of the requested task takes as input a program to be executed, each program comprising a function and a corresponding Consists of parameters, for each program in a given program, when you enter an iteration, the function and parameters are extracted, a variable describing the result of the previous iteration (Prev) is added to the parameter, and when the function and parameters are ready The Execute function calls each function and passes the extracted parameters, each function has a return value, so the variable (Prev) is updated at each iteration, and sends visual and audio feedback to the user through the language program executor. Training, education and promotion method in mixed reality using the metaverse platform to execute the given command based on the knowledge extracted from the manual and apply it to the program in order to notify about the processing and completion of the requested task.</t>
  </si>
  <si>
    <t>Jo, Geun Sik</t>
  </si>
  <si>
    <t>G09B0009000000</t>
  </si>
  <si>
    <t>G09B00900000</t>
  </si>
  <si>
    <t>G09B00900000 | G02B02701000 | G06F04028400 | G06Q05020000 | G06T01900000 | G10L01516000 | G10L01526000</t>
  </si>
  <si>
    <t>KR102465228B1</t>
  </si>
  <si>
    <t>KR102465228 B1</t>
  </si>
  <si>
    <t>I-000232498410</t>
  </si>
  <si>
    <t>20 years from 2021-11-24 (file date)</t>
  </si>
  <si>
    <t>https://patentscout.innography.com/share/JRS-PBR7lpD-k9uvROQbaQ%3D%3D</t>
  </si>
  <si>
    <t>2022-09-23-DECISION TO GRANT OR REGISTRATION OF PATENT RIGHT|2022-11-04-WRITTEN DECISION TO GRANT</t>
  </si>
  <si>
    <t>https://patentscout.innography.com/share/JRS-PBR7lpD-k9uvROQbaQ%3D%3D/download</t>
  </si>
  <si>
    <t>https://v3.espacenet.com/publicationDetails/biblio?CC=KR&amp;NR=102465228B1&amp;KC=B1&amp;FT=D&amp;date=20221109&amp;DB=EPODOC&amp;locale=</t>
  </si>
  <si>
    <t>KR20102465228 B1</t>
  </si>
  <si>
    <t>1.  In metaverse mixed reality for maintenance training, education and promotion of machinery including aircraft, digital twin (a simulation execution unit that provides a digital twin) to perform 3D simulation; a learning unit providing artificial intelligence knowledge based on learning information including a 2D manual, a work instruction of the 2D manual, and a simulation cost model (SCM); and performing neural network tasks and verbal reasoning for processing voice requests to perform the 3D simulation based on the provided artificial intelligence knowledge, the digital twin, and sending visual and voice feedback to the user to process the requested tasks and a neurolinguistic voice executor notifying of completion, wherein the neural linguistic voice executor triggers the neuro-language voice executor so that a user wearing smart glasses records his/her audio request, and the neuro-language voice executor triggers a dynamic length audio recorder that detects the phrase and invokes a dynamic length audio recording algorithm to process it to generate audio data from the voice signal stream output from the microphone; A speech-text network that converts the audio data into text and transmits it to a text-program network in the form of speech-text for automatic speech recognition - The speech-text network is an Automatic Speech Recognition neural network -; a text-program network comprising functions and parameters for converting the speech-text into an executable program sequence of a domain-specific language; and a language program executor that notifies the user of the processing and completion of the requested task by sending visual and audio feedback to the user.</t>
  </si>
  <si>
    <t>5.  In metaverse mixed reality for maintenance training, education and promotion of machinery including aircraft, digital twin (performing a 3D simulation by providing a digital twin) to the simulation execution unit; providing artificial intelligence knowledge based on learning information including a 2D manual, a work order of the 2D manual, and a simulation cost model (SCM) through a learning unit; And in order to perform the 3D simulation based on the provided artificial intelligence knowledge and the digital twin, a neural network model for processing a voice request by a neural language voice execution unit and a symbolic artificial intelligence knowledge inference are performed together, and to the user Sending visual and voice feedback to notify about the processing and completion of the requested task; The step of performing the task of the neural network and the verbal inference includes triggering the neural speech executor so that the user wearing the smart glasses records his/her audio request, the neural linguistic voice executor detects the trigger phrase, and a dynamic length audio recording algorithm processing to generate audio data from the voice signal stream output from the microphone by calling; converting the audio data into text through a speech-text network and transmitting the audio data to a text-program network in the form of speech-text for automatic speech recognition - The speech-text network is an automatic speech recognition neural network)lim-; converting the speech-text into an executable program sequence based on artificial intelligence domain knowledge through a text-program network composed of functions and parameters; and sending visual and audio feedback to the user through the language program executor to notify the user of the processing and completion of the requested task.</t>
  </si>
  <si>
    <t>KR20090115109 A | KR102231535 B1 | KR102388233 B1 | KR20110007419 A</t>
  </si>
  <si>
    <t>2022-09-05</t>
  </si>
  <si>
    <t>Service providing method and device for determining and managing the grade of nft-based sound sources applied to the metaverse space</t>
  </si>
  <si>
    <t>KR20220064767A</t>
  </si>
  <si>
    <t>A service providing method performed in a service providing device based on NFT (Non-Fungible Token) applied to a metaverse space, the NFT issued for a registered sound source of a platform providing the metaverse space and the sound source generating an NFT ID used to manage a sound source in the platform by matching identifiers for identification with each other;determining a grade for the NFT of the sound source based on a management status grade in the metaverse space determined in the process of generating the NFT ID; and applying a protection procedure for the NFT based on the determined rating for the NFT, wherein the rating is based on the number of past transactions and the amount of past transactions for the sound source in the metaverse space. generating a graph for the star amount;calculating a slope for the graph; and comparing the calculated slope with a value of the slope of a preset reference, and if the value of the slope of the graph exceeds the value of the slope of the preset reference, the grade is determined as a superior And, when the value of the slope of the graph is the same as the value of the slope of the preset reference, the grade is determined as intermediate, and when the value of the slope of the graph is less than the value of the slope of the preset reference, the grade is determined as low, The protection procedure for the NFT determined as a higher level includes: transmitting information on the NFT determined as the higher level to a server of a platform that provides insurance-related services; registering information on the NFT determined as the advanced level in a server of the platform; and requesting insurance to compensate for damage in the event of an accident due to forgery or falsification of the information on the NFT determined as the intermediate level, wherein the protection procedure for the NFT determined as the intermediate level includes the steps of: For the NFT determined as The protection procedure for NFT includes the step of advertising or promoting the sound source corresponding to the lower level determined NFT by providing streaming to a plurality of users accessing the metaverse space, the sound source corresponding to the lower level determined NFT. An NFT-based service provision method applied to the metaverse space.</t>
  </si>
  <si>
    <t>A service providing method performed in a service providing device based on NFT (Non-Fungible Token) applied to a metaverse space, the NFT issued for a registered sound source of a platform providing the metaverse space and the sound source generating an NFT ID used to manage a sound source in the platform by matching identifiers for identification with each other;determining a grade for the NFT of the sound source based on a management status grade in the metaverse space determined in the process of generating the NFT ID; and applying a protection procedure for the NFT based on the determined rating for the NFT, wherein the rating is based on the number of past transactions and the amount of past transactions for the sound source in the metaverse space. generating a graph for the star amount;calculating a slope for the graph; and comparing the calculated slope with a value of the slope of a preset reference, and if the value of the slope of the graph exceeds the value of the slope of the preset reference, the grade is determined as a superior And, when the value of the slope of the graph is the same as the value of the slope of the preset reference, the grade is determined as intermediate, and when the value of the slope of the graph is less than the value of the slope of the preset reference, the grade is determined as low, The protection procedure for the NFT determined as a higher level includes: transmitting information on the NFT determined as the higher level to a server of a platform that provides insurance-related services; registering information on the NFT determined as the advanced level in a server of the platform; and requesting insurance to compensate for damage in the event of an accident due to forgery or falsification of the information on the NFT determined as the intermediate level, wherein the protection procedure for the NFT determined as the intermediate level includes the steps of: For the NFT determined as The protection procedure for NFT includes the step of advertising or promoting the sound source corresponding to the lower level determined NFT by providing streaming to a plurality of users accessing the metaverse space, the sound source corresponding to the lower level determined NFT. An NFT-based service provision method applied to the metaverse space.
The method according to claim 1, wherein the generating of the NFT ID comprises collecting information on ownership, copyright, average transaction amount, transaction history number, and management status grade of the sound source registered in the platform, and each information is included in the block chain based issuing the NFT; and generating an identifier format having a structure of a plurality of fields in each information included in the NFT and matching each field to store each information in each field included in the identifier format to generate the NFT ID of the sound source. Characterized by the method of providing a service.</t>
  </si>
  <si>
    <t>G06Q0050180000</t>
  </si>
  <si>
    <t>G06Q05018000</t>
  </si>
  <si>
    <t>G06Q05018000 | G06F02110000 | G06F02164000 | G06Q03006000 | G06Q05010000 | H04L00900000</t>
  </si>
  <si>
    <t>KR102440745B1</t>
  </si>
  <si>
    <t>KR102440745 B1</t>
  </si>
  <si>
    <t>I-000230097302</t>
  </si>
  <si>
    <t>https://patentscout.innography.com/share/18vO1d5V2XiT0zaI8XaXSA%3D%3D</t>
  </si>
  <si>
    <t>2022-08-29-DECISION TO GRANT OR REGISTRATION OF PATENT RIGHT|2022-09-01-DIVISIONAL APPLICATION OF PATENT|2022-09-01-WRITTEN DECISION TO GRANT</t>
  </si>
  <si>
    <t>https://patentscout.innography.com/share/18vO1d5V2XiT0zaI8XaXSA%3D%3D/download</t>
  </si>
  <si>
    <t>https://v3.espacenet.com/publicationDetails/biblio?CC=KR&amp;NR=102440745B1&amp;KC=B1&amp;FT=D&amp;date=20220905&amp;DB=EPODOC&amp;locale=</t>
  </si>
  <si>
    <t>KR20102440745 B1</t>
  </si>
  <si>
    <t>1.  A service providing method performed in a service providing device based on NFT (Non-Fungible Token) applied to a metaverse space, the NFT issued for a registered sound source of a platform providing the metaverse space and the sound source generating an NFT ID used to manage a sound source in the platform by matching identifiers for identification with each other;determining a grade for the NFT of the sound source based on a management status grade in the metaverse space determined in the process of generating the NFT ID; and applying a protection procedure for the NFT based on the determined rating for the NFT, wherein the rating is based on the number of past transactions and the amount of past transactions for the sound source in the metaverse space. generating a graph for the star amount;calculating a slope for the graph; and comparing the calculated slope with a value of the slope of a preset reference, and if the value of the slope of the graph exceeds the value of the slope of the preset reference, the grade is determined as a superior And, when the value of the slope of the graph is the same as the value of the slope of the preset reference, the grade is determined as intermediate, and when the value of the slope of the graph is less than the value of the slope of the preset reference, the grade is determined as low, The protection procedure for the NFT determined as a higher level includes: transmitting information on the NFT determined as the higher level to a server of a platform that provides insurance-related services; registering information on the NFT determined as the advanced level in a server of the platform; and requesting insurance to compensate for damage in the event of an accident due to forgery or falsification of the information on the NFT determined as the intermediate level, wherein the protection procedure for the NFT determined as the intermediate level includes the steps of: For the NFT determined as The protection procedure for NFT includes the step of advertising or promoting the sound source corresponding to the lower level determined NFT by providing streaming to a plurality of users accessing the metaverse space, the sound source corresponding to the lower level determined NFT. An NFT-based service provision method applied to the metaverse space.</t>
  </si>
  <si>
    <t>KR20120003588 A | KR20160054325 A</t>
  </si>
  <si>
    <t>Disclosed is a system for providing a metaverse training service according to various embodiments of the present invention for realizing the above-described problems. The system generates a user exercise ability information based on a sensor device for obtaining exercise amount sensing information by detecting a movement of a user corresponding to a user terminal and the exercise amount sensing information and provides a training service based on the user exercise capacity information. It may include a server provided to the user terminal.</t>
  </si>
  <si>
    <t>System for providing metaverse training services</t>
  </si>
  <si>
    <t>KR20220063498A</t>
  </si>
  <si>
    <t>a sensor device for detecting a user's movement corresponding to the user terminal to obtain exercise amount sensing information;a server that generates user exercise ability information based on the exercise amount sensing information and provides a training service based on the user exercise capacity information to the user terminal; and an exercise device supporting the user's exercise performance.including, wherein the sensor device is provided in each of the user's body and the exercise device to detect the user's movement to generate exercise identification information related to the exercise performed by the user, and based on the generated exercise identification information to calculate the amount of exercise of the user to obtain the amount of movement sensing information, wherein the server obtains the user's body information and posture information based on the sensing information obtained from the sensor device, and the body information Determining whether the sensor device is normally measured based on, generating device control information for adjusting the intensity of the exercise device based on the posture information, and adding the exercise identification information, the exercise amount sensing information and the user basic information When generating exercise guide information based on the user terminal and receiving an exercise rule setting signal from the user terminal, generating user-customized exercise information based on the user's movement detected through the sensor device for a preset time period, A system for providing a metaverse training service, characterized in that a user-customized simulation is generated based on the generated user-customized exercise information, and the generated user-customized simulation is provided to a plurality of other user terminals.</t>
  </si>
  <si>
    <t>a sensor device for detecting a user's movement corresponding to the user terminal to obtain exercise amount sensing information;a server that generates user exercise ability information based on the exercise amount sensing information and provides a training service based on the user exercise capacity information to the user terminal; and an exercise device supporting the user's exercise performance.including, wherein the sensor device is provided in each of the user's body and the exercise device to detect the user's movement to generate exercise identification information related to the exercise performed by the user, and based on the generated exercise identification information to calculate the amount of exercise of the user to obtain the amount of movement sensing information, wherein the server obtains the user's body information and posture information based on the sensing information obtained from the sensor device, and the body information Determining whether the sensor device is normally measured based on, generating device control information for adjusting the intensity of the exercise device based on the posture information, and adding the exercise identification information, the exercise amount sensing information and the user basic information When generating exercise guide information based on the user terminal and receiving an exercise rule setting signal from the user terminal, generating user-customized exercise information based on the user's movement detected through the sensor device for a preset time period, A system for providing a metaverse training service, characterized in that a user-customized simulation is generated based on the generated user-customized exercise information, and the generated user-customized simulation is provided to a plurality of other user terminals.
delete
According to claim 1, wherein the training service, to provide a simulation for the user to perform an exercise, characterized in that the ability value of the virtual character corresponding to the user is changed according to the result of participation in the simulation, The server generates device control information for adjusting the exercise intensity of the exercise device in response to the simulation situation, and transmits the device control information to the exercise device. A system for providing a metaverse training service.
The apparatus of claim 3, wherein the sensor device comprises: a vibration generator for generating vibration; further comprising, wherein the server generates vibration control information for controlling the vibration of the vibration generator in response to the simulation situation, and transmits the vibration control information to the sensor device, providing a metaverse training service system for.
delete
delete
The method of claim 1, wherein the sensor device includes a plurality of sensor modules, wherein the plurality of sensor modules are provided in at least one of the user's body and the exercise device, and are provided in correspondence with each of a plurality of areas,, by detecting the movement of the user based on a plurality of sensing information obtained from each of a plurality of sensor modules corresponding to each of the plurality of regions, characterized in that the exercise amount sensing information is obtained, providing a metaverse training service system to do it.
The method of claim 7, wherein the server, when receiving the exercise device information corresponding to the exercise device from the user terminal, generates a sensor module location information and provides it to the user terminal, the sensor module location information, A system for providing a metaverse training service, including information on a location of each of the plurality of sensor modules in an exercise device.
The RGB camera of claim 1, wherein the sensor device includes a camera unit configured to acquire an image of the user's exercise performance, and the camera unit includes at least one of an RGB camera, an infrared projector, and a depth sensor. Based on at least one of a color view photographed with a color view, a depth view of a photographed image, and a user's skeleton view, information on which joint connections change according to a user's motion is identified By doing so, a system for providing a metaverse training service, characterized in that obtaining the exercise amount sensing information.
The method according to claim 9, wherein the camera unit is provided through a plurality of camera modules, and the exercise amount sensing information is obtained based on the plurality of images of the user's exercise performance obtained through each of the plurality of camera modules. A system for providing a metaverse training service, characterized in that it becomes.
The system of claim 1, wherein the server provides a virtual asset corresponding to the user's exercise result as a reward to the user, according to the exercise result of the user.</t>
  </si>
  <si>
    <t>G06Q05010000 | A63B02400000 | G06Q05022000</t>
  </si>
  <si>
    <t>KR102445543B1</t>
  </si>
  <si>
    <t>KR102445543 B1</t>
  </si>
  <si>
    <t>I-000230623889</t>
  </si>
  <si>
    <t>https://patentscout.innography.com/share/rBbcrx99UYr_4-zFbhcEFw%3D%3D</t>
  </si>
  <si>
    <t>https://patentscout.innography.com/share/rBbcrx99UYr_4-zFbhcEFw%3D%3D/download</t>
  </si>
  <si>
    <t>https://v3.espacenet.com/publicationDetails/biblio?CC=KR&amp;NR=102445543B1&amp;KC=B1&amp;FT=D&amp;date=20220920&amp;DB=EPODOC&amp;locale=</t>
  </si>
  <si>
    <t>KR20102445543 B1</t>
  </si>
  <si>
    <t>1.  a sensor device for detecting a user's movement corresponding to the user terminal to obtain exercise amount sensing information;a server that generates user exercise ability information based on the exercise amount sensing information and provides a training service based on the user exercise capacity information to the user terminal; and an exercise device supporting the user's exercise performance.including, wherein the sensor device is provided in each of the user's body and the exercise device to detect the user's movement to generate exercise identification information related to the exercise performed by the user, and based on the generated exercise identification information to calculate the amount of exercise of the user to obtain the amount of movement sensing information, wherein the server obtains the user's body information and posture information based on the sensing information obtained from the sensor device, and the body information Determining whether the sensor device is normally measured based on, generating device control information for adjusting the intensity of the exercise device based on the posture information, and adding the exercise identification information, the exercise amount sensing information and the user basic information When generating exercise guide information based on the user terminal and receiving an exercise rule setting signal from the user terminal, generating user-customized exercise information based on the user's movement detected through the sensor device for a preset time period, A system for providing a metaverse training service, characterized in that a user-customized simulation is generated based on the generated user-customized exercise information, and the generated user-customized simulation is provided to a plurality of other user terminals.</t>
  </si>
  <si>
    <t>KR102390615 B1 | KR20210151713 A</t>
  </si>
  <si>
    <t>2022-05-03</t>
  </si>
  <si>
    <t>2042-05-03</t>
  </si>
  <si>
    <t>Embodiments provide a metaverse implementation system comprising AR VR MR and XR for funeral procedures. The funeral metaverse implementation system according to the embodiment provides classification element information including information such as the type breed age etc. of the companion animal raised by the user and the health state behavioral characteristics and body of the companion animal by the user&amp;#39;s manipulation. a user terminal for generating companion animal input information including characteristic element information including information such as characteristics and facial expressions of the companion animal; an image collecting unit for obtaining an object image by photographing a companion animal raised by the user; a database for classifying and storing a plurality of reference images of companion animals according to the classification element information; receiving the object image from the image collection unit selecting one or more reference images from the database based on the object image comparing the reference image with the object image and generating a virtual image based on the comparison result data processing unit; an augmented reality implementation unit for outputting an AR (augmented reality) image of the companion animal raised by the user based on the virtual image; and a funeral procedure guide unit that stores metaverse funeral contents and guides the user about the funeral procedure of the companion animal raised by the user.</t>
  </si>
  <si>
    <t>Metaverse implementation system including ar, vr, mr, and xr for funeral process</t>
  </si>
  <si>
    <t>Mongmong-e Co., Ltd.</t>
  </si>
  <si>
    <t>MONGMONG-E CO., LTD.</t>
  </si>
  <si>
    <t>KR20220054996A</t>
  </si>
  <si>
    <t>Classification element information including information such as the type, breed, age, etc. of the companion animal raised by the user, and information such as the companion animal's health status, behavioral characteristics, body characteristics, and facial expression of the companion animal by the user's operation a user terminal for generating companion animal input information including characteristic element information;an image collecting unit for obtaining an object image by photographing a companion animal raised by the user;a database for classifying and storing a plurality of reference images of companion animals according to the classification element information;receiving the object image from the image collection unit, selecting one or more reference images from the database based on the object image, comparing the reference image with the object image, and generating a virtual image based on the comparison result data processing unit;an augmented reality implementation unit for outputting an AR (augmented reality) image of the companion animal raised by the user based on the virtual image; and a funeral procedure guide unit that stores metaverse funeral contents and guides the user about the funeral procedure of a companion animal raised by the user, wherein the data processing unit extracts a plurality of feature points from the reference image, A plurality of feature point vectors are determined based on the plurality of feature points, a weight of each of the plurality of feature point vectors is determined, the virtual image is generated based on the weights, and [Equation]The data processing unit determines the weight by using the equation, where i is a natural number for identifying a feature point vector, v_i is the i-th feature point vector, w_i is the weight of the i-th point vector, and v_a is the The standard feature point vector of the reference image, f(v_i, v_total) is the effective value of the i-th feature point vector compared to the entire feature point vector of the reference image, and f(v_a, v_total) is the standard compared to the total feature point vector of the reference image A metaverse implementation system including AR, VR, MR, and XR related to the funeral procedure, which means the effective value of the feature point vector.</t>
  </si>
  <si>
    <t>Classification element information including information such as the type, breed, age, etc. of the companion animal raised by the user, and information such as the companion animal's health status, behavioral characteristics, body characteristics, and facial expression of the companion animal by the user's operation a user terminal for generating companion animal input information including characteristic element information;an image collecting unit for obtaining an object image by photographing a companion animal raised by the user;a database for classifying and storing a plurality of reference images of companion animals according to the classification element information;receiving the object image from the image collection unit, selecting one or more reference images from the database based on the object image, comparing the reference image with the object image, and generating a virtual image based on the comparison result data processing unit;an augmented reality implementation unit for outputting an AR (augmented reality) image of the companion animal raised by the user based on the virtual image; and a funeral procedure guide unit that stores metaverse funeral contents and guides the user about the funeral procedure of a companion animal raised by the user, wherein the data processing unit extracts a plurality of feature points from the reference image, A plurality of feature point vectors are determined based on the plurality of feature points, a weight of each of the plurality of feature point vectors is determined, the virtual image is generated based on the weights, and [Equation]The data processing unit determines the weight by using the equation, where i is a natural number for identifying a feature point vector, v_i is the i-th feature point vector, w_i is the weight of the i-th point vector, and v_a is the The standard feature point vector of the reference image, f(v_i, v_total) is the effective value of the i-th feature point vector compared to the entire feature point vector of the reference image, and f(v_a, v_total) is the standard compared to the total feature point vector of the reference image A metaverse implementation system including AR, VR, MR, and XR related to the funeral procedure, which means the effective value of the feature point vector.
The method of claim 1, wherein the data processing unit extracts one or more feature points from the reference image, sets a feature map in the reference image based on the feature points, and matches corresponding to the feature points in the object image. Extracting a point, setting a matching map in the object image based on the matching point, determining a similarity between the feature map and the matching map, and generating the virtual image based on the similarity. A metaverse implementation system that includes AR, VR, MR, and XR.
The method of claim 1, wherein the data processing unit extracts a first feature point and a second feature point from the reference image, and determines a first feature point vector based on the first feature point and the second feature point;, set a first feature map in the reference image based on the first feature point, set a second feature map in the reference image based on the second feature point, and set the first feature point in the object image extracting a first matching point corresponding to and a second matching point corresponding to the second feature point based on the first feature point vector, and a first matching map from the object image based on the first matching point set, set a second matching map in the object image based on the first matching point, the second matching point, and the first feature point vector, and combine the first feature map and the first matching map to determine a first degree of similarity by comparing, AR, VR, MR for a funeral procedure, determining a second degree of similarity by comparing the second feature map with the second matching map, and generating the virtual image based on the first degree of similarity and the second degree of similarity; Metaverse implementation system including XR.
The method of claim 1, wherein the data processing unit determines the virtual image by using an image processing model, the image processing model including an input layer, one or more hidden layers, and an output layer, and a plurality of learning about the object image Data is input to the input layer of the image processing model and passes through the one or more hidden layers and output layers to output an output vector, the output vector is input to a loss function layer connected to the output layer, and the loss function layer Outputs a loss value using a loss function that compares the output vector with the correct vector for each training data, and the parameter of the image processing model is learned in a direction in which the loss value becomes smaller. AR related to the funeral procedure, a metaverse implementation system that includes VR, MR, and XR.
delete</t>
  </si>
  <si>
    <t>Shim, Hyeok</t>
  </si>
  <si>
    <t>G06Q05010000 | G06F01655000 | G06T01340000 | G06T01900000</t>
  </si>
  <si>
    <t>KR102461333B1</t>
  </si>
  <si>
    <t>KR102461333 B1</t>
  </si>
  <si>
    <t>I-000232497495</t>
  </si>
  <si>
    <t>20 years from 2022-05-03 (file date)</t>
  </si>
  <si>
    <t>https://patentscout.innography.com/share/puJHM71TI_NKP6_H5qo_Bg%3D%3D</t>
  </si>
  <si>
    <t>2022-10-26-DIVISIONAL APPLICATION OF PATENT|2022-10-26-WRITTEN DECISION TO GRANT</t>
  </si>
  <si>
    <t>https://patentscout.innography.com/share/puJHM71TI_NKP6_H5qo_Bg%3D%3D/download</t>
  </si>
  <si>
    <t>https://v3.espacenet.com/publicationDetails/biblio?CC=KR&amp;NR=102461333B1&amp;KC=B1&amp;FT=D&amp;date=20221101&amp;DB=EPODOC&amp;locale=</t>
  </si>
  <si>
    <t>KR20102461333 B1</t>
  </si>
  <si>
    <t>1.  Classification element information including information such as the type, breed, age, etc. of the companion animal raised by the user, and information such as the companion animal's health status, behavioral characteristics, body characteristics, and facial expression of the companion animal by the user's operation a user terminal for generating companion animal input information including characteristic element information;an image collecting unit for obtaining an object image by photographing a companion animal raised by the user;a database for classifying and storing a plurality of reference images of companion animals according to the classification element information;receiving the object image from the image collection unit, selecting one or more reference images from the database based on the object image, comparing the reference image with the object image, and generating a virtual image based on the comparison result data processing unit;an augmented reality implementation unit for outputting an AR (augmented reality) image of the companion animal raised by the user based on the virtual image; and a funeral procedure guide unit that stores metaverse funeral contents and guides the user about the funeral procedure of a companion animal raised by the user, wherein the data processing unit extracts a plurality of feature points from the reference image, A plurality of feature point vectors are determined based on the plurality of feature points, a weight of each of the plurality of feature point vectors is determined, the virtual image is generated based on the weights, and [Equation]The data processing unit determines the weight by using the equation, where i is a natural number for identifying a feature point vector, v_i is the i-th feature point vector, w_i is the weight of the i-th point vector, and v_a is the The standard feature point vector of the reference image, f(v_i, v_total) is the effective value of the i-th feature point vector compared to the entire feature point vector of the reference image, and f(v_a, v_total) is the standard compared to the total feature point vector of the reference image A metaverse implementation system including AR, VR, MR, and XR related to the funeral procedure, which means the effective value of the feature point vector.</t>
  </si>
  <si>
    <t>KR101245984 B1 | KR102355550 B1 | KR20200084009 A | KR20200134622 A | US20210398095 A1</t>
  </si>
  <si>
    <t>2022-11-30</t>
  </si>
  <si>
    <t>2022-06-08</t>
  </si>
  <si>
    <t>2042-06-08</t>
  </si>
  <si>
    <t>An embodiment of the present invention discloses a method for an asset management system to provide an asset management service based on a blockchain through a metaverse.</t>
  </si>
  <si>
    <t>Method and asset management system providing asset management service through metaverse based on blockchain</t>
  </si>
  <si>
    <t>Guardsystems Co., Ltd.</t>
  </si>
  <si>
    <t>GUARDSYSTEMS CO., LTD.</t>
  </si>
  <si>
    <t>KR20220069370A</t>
  </si>
  <si>
    <t>An asset management system that provides asset management services based on a blockchain through a metaverse, including a first transceiver and a first processor, the user's user device; And a server that manages the metaverse, including a second transceiver and a second processor; Including, the location information of the user's interest (interest) asset and the type (type) information of the interest asset is transmitted from the user device to a plurality of nodes in a blockchain platform based on blockchain technology and asset-of-interest update instruction information indicating that the location information of the asset of interest and the type information of the asset of interest have been transmitted to the plurality of nodes is transmitted from the user device to the server, and based on the asset of interest update instruction information, based on transmission of a transaction ID (identification) for the server to receive the location information of the asset of interest and the type information of the asset of interest from the server to the plurality of nodes, The second transceiver receives location information of the asset of interest and information on the type of the asset of interest, which are distributed and stored in the plurality of nodes, and by the server: Based on the location information of the asset of interest and the type information of the asset of interest, an image of an asset of interest corresponding to the asset of interest is displayed in a virtual image space in the metaverse corresponding to a real space in which the user is located. Asset-of-interest image information for display is generated, the asset-of-interest image information is transmitted from the server to the user device, the type information of the asset includes a unique code value for classifying each asset by type, The user device obtains location information of the asset of interest and type information of the asset of interest based on radio frequency identification (RFID) or an air tag, wherein the location information of the asset of interest is the location information of the asset of interest. Indicates a position in virtual space in the metaverse, the user device further includes a user interface, When the asset of interest location change information indicating that the location information of the asset of interest is changed is input through the user interface of the user device, the user device sends the location change information of the asset of interest to the plurality of nodes and the server. When the position information of the asset of interest previously stored by the plurality of nodes is updated according to the position change information of the asset of interest and the server receives the position change information of the asset of interest, the server transmits the meta The server controls the display position of the asset image of interest in the virtual image space of the bus to be changed, and the server carries the asset image of interest in the virtual image space by the user's avatar in the metaverse. controlling an asset of interest image to move to a location indicated by the location change information of the asset of interest; Based on the plurality of nodes receiving the location information of the asset of interest and the type information of the asset of interest, the total number of assets of the same type as the asset of interest previously stored in the plurality of nodes is updated to increase by 1, and, Based on the plurality of nodes receiving the asset-of-interest reduction indication information indicating the decrease in the count of the asset of interest together with the location information of the asset of interest and the type information of the asset of interest, the pre-stored in the plurality of nodes The asset management system, wherein the total number of assets of the same type as the asset of interest is updated to decrease by 1.</t>
  </si>
  <si>
    <t>An asset management system that provides asset management services based on a blockchain through a metaverse, including a first transceiver and a first processor, the user's user device; And a server that manages the metaverse, including a second transceiver and a second processor; Including, the location information of the user's interest (interest) asset and the type (type) information of the interest asset is transmitted from the user device to a plurality of nodes in a blockchain platform based on blockchain technology and asset-of-interest update instruction information indicating that the location information of the asset of interest and the type information of the asset of interest have been transmitted to the plurality of nodes is transmitted from the user device to the server, and based on the asset of interest update instruction information, based on transmission of a transaction ID (identification) for the server to receive the location information of the asset of interest and the type information of the asset of interest from the server to the plurality of nodes, The second transceiver receives location information of the asset of interest and information on the type of the asset of interest, which are distributed and stored in the plurality of nodes, and by the server: Based on the location information of the asset of interest and the type information of the asset of interest, an image of an asset of interest corresponding to the asset of interest is displayed in a virtual image space in the metaverse corresponding to a real space in which the user is located. Asset-of-interest image information for display is generated, the asset-of-interest image information is transmitted from the server to the user device, the type information of the asset includes a unique code value for classifying each asset by type, The user device obtains location information of the asset of interest and type information of the asset of interest based on radio frequency identification (RFID) or an air tag, wherein the location information of the asset of interest is the location information of the asset of interest. Indicates a position in virtual space in the metaverse, the user device further includes a user interface, When the asset of interest location change information indicating that the location information of the asset of interest is changed is input through the user interface of the user device, the user device sends the location change information of the asset of interest to the plurality of nodes and the server. When the position information of the asset of interest previously stored by the plurality of nodes is updated according to the position change information of the asset of interest and the server receives the position change information of the asset of interest, the server transmits the meta The server controls the display position of the asset image of interest in the virtual image space of the bus to be changed, and the server carries the asset image of interest in the virtual image space by the user's avatar in the metaverse. controlling an asset of interest image to move to a location indicated by the location change information of the asset of interest; Based on the plurality of nodes receiving the location information of the asset of interest and the type information of the asset of interest, the total number of assets of the same type as the asset of interest previously stored in the plurality of nodes is updated to increase by 1, and, Based on the plurality of nodes receiving the asset-of-interest reduction indication information indicating the decrease in the count of the asset of interest together with the location information of the asset of interest and the type information of the asset of interest, the pre-stored in the plurality of nodes The asset management system, wherein the total number of assets of the same type as the asset of interest is updated to decrease by 1.
delete
delete
delete
delete</t>
  </si>
  <si>
    <t>Kim, Sung Soo|Yu, Woo Sun|Song, Jae Wung</t>
  </si>
  <si>
    <t>G06Q0020020000</t>
  </si>
  <si>
    <t>G06Q02002000</t>
  </si>
  <si>
    <t>G06Q02002000 | G06Q01006000 | G06Q02006000 | G06Q05010000 | H04L00900000</t>
  </si>
  <si>
    <t>KR102472008B1</t>
  </si>
  <si>
    <t>KR102472008 B1</t>
  </si>
  <si>
    <t>I-000233026290</t>
  </si>
  <si>
    <t>20 years from 2022-06-08 (file date)</t>
  </si>
  <si>
    <t>https://patentscout.innography.com/share/T9cK6JFBrJZ5AayFbGxjpA%3D%3D</t>
  </si>
  <si>
    <t>2022-11-14-DECISION TO GRANT OR REGISTRATION OF PATENT RIGHT|2022-11-24-WRITTEN DECISION TO GRANT</t>
  </si>
  <si>
    <t>https://patentscout.innography.com/share/T9cK6JFBrJZ5AayFbGxjpA%3D%3D/download</t>
  </si>
  <si>
    <t>https://v3.espacenet.com/publicationDetails/biblio?CC=KR&amp;NR=102472008B1&amp;KC=B1&amp;FT=D&amp;date=20221130&amp;DB=EPODOC&amp;locale=</t>
  </si>
  <si>
    <t>KR20102472008 B1</t>
  </si>
  <si>
    <t>1.  An asset management system that provides asset management services based on a blockchain through a metaverse, including a first transceiver and a first processor, the user's user device; And a server that manages the metaverse, including a second transceiver and a second processor; Including, the location information of the user's interest (interest) asset and the type (type) information of the interest asset is transmitted from the user device to a plurality of nodes in a blockchain platform based on blockchain technology and asset-of-interest update instruction information indicating that the location information of the asset of interest and the type information of the asset of interest have been transmitted to the plurality of nodes is transmitted from the user device to the server, and based on the asset of interest update instruction information, based on transmission of a transaction ID (identification) for the server to receive the location information of the asset of interest and the type information of the asset of interest from the server to the plurality of nodes, The second transceiver receives location information of the asset of interest and information on the type of the asset of interest, which are distributed and stored in the plurality of nodes, and by the server: Based on the location information of the asset of interest and the type information of the asset of interest, an image of an asset of interest corresponding to the asset of interest is displayed in a virtual image space in the metaverse corresponding to a real space in which the user is located. Asset-of-interest image information for display is generated, the asset-of-interest image information is transmitted from the server to the user device, the type information of the asset includes a unique code value for classifying each asset by type, The user device obtains location information of the asset of interest and type information of the asset of interest based on radio frequency identification (RFID) or an air tag, wherein the location information of the asset of interest is the location information of the asset of interest. Indicates a position in virtual space in the metaverse, the user device further includes a user interface, When the asset of interest location change information indicating that the location information of the asset of interest is changed is input through the user interface of the user device, the user device sends the location change information of the asset of interest to the plurality of nodes and the server. When the position information of the asset of interest previously stored by the plurality of nodes is updated according to the position change information of the asset of interest and the server receives the position change information of the asset of interest, the server transmits the meta The server controls the display position of the asset image of interest in the virtual image space of the bus to be changed, and the server carries the asset image of interest in the virtual image space by the user's avatar in the metaverse. controlling an asset of interest image to move to a location indicated by the location change information of the asset of interest; Based on the plurality of nodes receiving the location information of the asset of interest and the type information of the asset of interest, the total number of assets of the same type as the asset of interest previously stored in the plurality of nodes is updated to increase by 1 , and, Based on the plurality of nodes receiving the asset-of-interest reduction indication information indicating the decrease in the count of the asset of interest together with the location information of the asset of interest and the type information of the asset of interest, the pre-stored in the plurality of nodes The asset management system, wherein the total number of assets of the same type as the asset of interest is updated to decrease by 1.</t>
  </si>
  <si>
    <t>KR100905407 B1 | KR101505090 B1 | KR102073891 B1 | KR102086659 B1 | KR20110055343 A | KR20180134099 A</t>
  </si>
  <si>
    <t>KR102458225 B1</t>
  </si>
  <si>
    <t>2021-10-20</t>
  </si>
  <si>
    <t>2021-11-19</t>
  </si>
  <si>
    <t>2041-11-19</t>
  </si>
  <si>
    <t>According to the metaverse medical exhibition platform of the present invention a metaverse providing unit for providing medical articles as a virtual exhibition hall; and an artificial intelligence unit that learns the medical metadata and provides inferred data inferred from the learned metadata to the customer when the medical article information is requested by the customer accessing the virtual exhibition hall. The effect of the present invention is that by providing medical exhibitions as virtual exhibition halls exhibitions can be held all year round customers can access the virtual exhibition hall at any time and view the virtual exhibition hall at any time regardless of time and place and medical information through the virtual classroom It can provide a metaverse medical exhibition platform where you can check medical product descriptions etc.</t>
  </si>
  <si>
    <t>Metaverse medical exhibition platform</t>
  </si>
  <si>
    <t>exhibition platform|exhibition</t>
  </si>
  <si>
    <t>Petra Intelligence</t>
  </si>
  <si>
    <t>PETRA INTELLIGENCE</t>
  </si>
  <si>
    <t>KR20210160518A</t>
  </si>
  <si>
    <t>a metaverse providing unit including a virtual exhibition hall module that provides medical articles as a virtual exhibition hall; and an artificial intelligence unit that learns the medical metadata and provides inference data inferred from the learned metadata to the customer when the medical item information is requested by the customer accessing the virtual exhibition hall. The artificial intelligence unit has a database in which product information on the medical product is stored as metadata, and when a question about the product is inputted from the customer, the answer to the question can be automatically determined and answered a machine learning unit inferring from the metadata and providing the inferred data to the customer;Converts the question into a preset language, extracts the inference data from the set language, and reconverts the extracted inference data into the language of the question. When the customer is dissatisfied about Extracts a default answer to the input question with a labeler, translates the answer content according to the language requested by the customer through a language conversion unit and provides it, confirms whether the customer is satisfied with the answer content, and If the customer is not satisfied with the above answer, an additional answer is provided, and if the answer to the entered question is not registered, the question content is provided to the manager using the answer request unit,A metaverse medical exhibition platform that receives answers to questions from the manager and provides answers to the customers.</t>
  </si>
  <si>
    <t>a metaverse providing unit including a virtual exhibition hall module that provides medical articles as a virtual exhibition hall; and an artificial intelligence unit that learns the medical metadata and provides inference data inferred from the learned metadata to the customer when the medical item information is requested by the customer accessing the virtual exhibition hall. The artificial intelligence unit has a database in which product information on the medical product is stored as metadata, and when a question about the product is inputted from the customer, the answer to the question can be automatically determined and answered a machine learning unit inferring from the metadata and providing the inferred data to the customer;Converts the question into a preset language, extracts the inference data from the set language, and reconverts the extracted inference data into the language of the question. When the customer is dissatisfied about Extracts a default answer to the input question with a labeler, translates the answer content according to the language requested by the customer through a language conversion unit and provides it, confirms whether the customer is satisfied with the answer content, and If the customer is not satisfied with the above answer, an additional answer is provided, and if the answer to the entered question is not registered, the question content is provided to the manager using the answer request unit,
A metaverse medical exhibition platform that receives answers to questions from the manager and provides answers to the customers.
According to claim 1, wherein the metaverse providing unit, when the medical article displayed in the virtual exhibition hall is selected by the customer, the product information on the selected medical article is displayed in the virtual exhibition hall, and the selected medical article is set in advance A metaverse medical exhibition platform including a simulation unit that automatically sets the virtual setting room.
delete
delete</t>
  </si>
  <si>
    <t>Jae, Hoon Choi|Ok, Nam Park</t>
  </si>
  <si>
    <t>G06Q05010000 | G06F04058000 | G06N02000000 | G06Q02006000 | G06T01340000 | G06T01900000 | G06T01920000 | G16H04020000 | G16H04040000 | G16H04067000</t>
  </si>
  <si>
    <t>KR102404585B1</t>
  </si>
  <si>
    <t>KR102404585 B1</t>
  </si>
  <si>
    <t>I-000226810128</t>
  </si>
  <si>
    <t>20 years from 2021-11-19 (file date)</t>
  </si>
  <si>
    <t>https://patentscout.innography.com/share/ulvH0J8EeeEnw7nqfxzlaA%3D%3D</t>
  </si>
  <si>
    <t>2022-05-24-DECISION TO GRANT OR REGISTRATION OF PATENT RIGHT|2022-05-27-WRITTEN DECISION TO GRANT</t>
  </si>
  <si>
    <t>https://patentscout.innography.com/share/ulvH0J8EeeEnw7nqfxzlaA%3D%3D/download</t>
  </si>
  <si>
    <t>https://v3.espacenet.com/publicationDetails/biblio?CC=KR&amp;NR=102404585B1&amp;KC=B1&amp;FT=D&amp;date=20220602&amp;DB=EPODOC&amp;locale=</t>
  </si>
  <si>
    <t>KR20102404585 B1</t>
  </si>
  <si>
    <t>1.  a metaverse providing unit including a virtual exhibition hall module that provides medical articles as a virtual exhibition hall; and an artificial intelligence unit that learns the medical metadata and provides inference data inferred from the learned metadata to the customer when the medical item information is requested by the customer accessing the virtual exhibition hall. The artificial intelligence unit has a database in which product information on the medical product is stored as metadata, and when a question about the product is inputted from the customer, the answer to the question can be automatically determined and answered a machine learning unit inferring from the metadata and providing the inferred data to the customer;Converts the question into a preset language, extracts the inference data from the set language, and reconverts the extracted inference data into the language of the question. When the customer is dissatisfied about Extracts a default answer to the input question with a labeler, translates the answer content according to the language requested by the customer through a language conversion unit and provides it, confirms whether the customer is satisfied with the answer content, and If the customer is not satisfied with the above answer, an additional answer is provided, and if the answer to the entered question is not registered, the question content is provided to the manager using the answer request unit,
A metaverse medical exhibition platform that receives answers to questions from the manager and provides answers to the customers.</t>
  </si>
  <si>
    <t>JP2019160112 A | KR101843987 B1 | KR102117917 B1 | KR20160006810 A | KR20200132583 A | KR20210146206 A</t>
  </si>
  <si>
    <t>2022-06-10</t>
  </si>
  <si>
    <t>2022-02-25</t>
  </si>
  <si>
    <t>2042-02-25</t>
  </si>
  <si>
    <t>According to an embodiment in a method of providing a winery experience service based on a metaverse performed by a device when it is confirmed that the first user wears an output device a winery selection screen is controlled to be displayed on the output device to do; When the first user wears a manipulation device when a first winery is selected on the winery selection screen through the manipulation device a first virtual environment that corresponds to the real space of the first winery and is implemented as a metaverse environment controlling the screen of the first virtual space to be displayed on the output device so that the first user is connected to the space; and when a movement in the first virtual space is requested through the manipulation device a point at which the first user is located is changed on the first virtual space and the screen of the first virtual space is centered on the changed point. A method for providing a metaverse-based winery experience service is provided including controlling the display to be displayed on the output device.</t>
  </si>
  <si>
    <t>Method, device and system for providing winery experience service based on metaverse</t>
  </si>
  <si>
    <t>winery|service based|experience service</t>
  </si>
  <si>
    <t>Vinoverse Inc.</t>
  </si>
  <si>
    <t>Vinovest, Inc.</t>
  </si>
  <si>
    <t>VinoVest, Inc.</t>
  </si>
  <si>
    <t>KR20220025493A</t>
  </si>
  <si>
    <t>A method for providing a winery experience service based on a metaverse performed by an apparatus, the method comprising: when it is confirmed that a first user terminal and an output device are connected, obtaining first user information through the first user terminal;analyzing a wine taste of a first user by checking a wine search history and a wine purchase history based on the first user information;applying the analysis result of the first user's wine taste to a first artificial neural network, and selecting the recommended wine of the first user based on the output of the first artificial neural network;When a plurality of wines are selected as the recommended wine of the first user, generating a recommended wine list from the selected plurality of wines;setting a priority of each of the wines included in the recommended wine list according to a predetermined recommendation rule;When it is confirmed that the first user wears the output device, a winery selection screen is controlled to be displayed on the output device, and the wines included in the recommended wine list are selected with larger and brighter colors as the priority is higher. controlling to be displayed on the screen;When the first user is wearing a manipulation device, when a first wine is selected from among the wines included in the recommended wine list on the winery selection screen through the manipulation device, the first winery in which the first wine is produced determining that is selected;When the first winery is selected, the screen of the first virtual space is displayed on the output device so that the first user is connected to the first virtual space implemented as a metaverse environment corresponding to the real space of the first winery. controlling to be displayed; and when a movement in the first virtual space is requested through the manipulation device, a point at which the first user is located is changed on the first virtual space, and the screen of the first virtual space is centered on the changed point. A method of providing a metaverse-based winery experience service, comprising the step of controlling the display to be displayed on the output device.</t>
  </si>
  <si>
    <t>A method for providing a winery experience service based on a metaverse performed by an apparatus, the method comprising: when it is confirmed that a first user terminal and an output device are connected, obtaining first user information through the first user terminal;analyzing a wine taste of a first user by checking a wine search history and a wine purchase history based on the first user information;applying the analysis result of the first user's wine taste to a first artificial neural network, and selecting the recommended wine of the first user based on the output of the first artificial neural network;When a plurality of wines are selected as the recommended wine of the first user, generating a recommended wine list from the selected plurality of wines;setting a priority of each of the wines included in the recommended wine list according to a predetermined recommendation rule;When it is confirmed that the first user wears the output device, a winery selection screen is controlled to be displayed on the output device, and the wines included in the recommended wine list are selected with larger and brighter colors as the priority is higher. controlling to be displayed on the screen;When the first user is wearing a manipulation device, when a first wine is selected from among the wines included in the recommended wine list on the winery selection screen through the manipulation device, the first winery in which the first wine is produced determining that is selected;When the first winery is selected, the screen of the first virtual space is displayed on the output device so that the first user is connected to the first virtual space implemented as a metaverse environment corresponding to the real space of the first winery. controlling to be displayed; and when a movement in the first virtual space is requested through the manipulation device, a point at which the first user is located is changed on the first virtual space, and the screen of the first virtual space is centered on the changed point. A method of providing a metaverse-based winery experience service, comprising the step of controlling the display to be displayed on the output device.
delete
The method of claim 1, further comprising: when a wine confirmation menu is selected on the first virtual space through the manipulation device, controlling information about wine produced in the first winery to be displayed on the first virtual space;controlling a purchase page for wine produced in the first winery to be displayed on the first virtual space when a wine purchase menu is selected on the first virtual space through the manipulation device;When the winery tour menu is selected on the first virtual space through the operation device, the first winery and the real space of the first winery can be toured through reservation of a hotel and a restaurant adjacent to the first winery. controlling a reservation page for a tour of one winery to be displayed in the first virtual space; and when it is confirmed that a second user is additionally connected to the first virtual space while the first user is connected to the first virtual space, a chat window between the first user and the second user is displayed in the first virtual space. The method of providing a metaverse-based winery experience service further comprising the step of controlling to be displayed in a virtual space.</t>
  </si>
  <si>
    <t>Oh, Song Yi</t>
  </si>
  <si>
    <t>G06Q05010000 | G06F00304815 | G06F00304820 | G06F01695350 | G06N00302000 | G06Q01002000 | G06Q03006000 | G06Q05030000 | G06T01900000</t>
  </si>
  <si>
    <t>KR102407595B1</t>
  </si>
  <si>
    <t>KR102407595 B1</t>
  </si>
  <si>
    <t>I-000226810880</t>
  </si>
  <si>
    <t>20 years from 2022-02-25 (file date)</t>
  </si>
  <si>
    <t>https://patentscout.innography.com/share/3cW5JLK6vhRSsdzRHFMfbw%3D%3D</t>
  </si>
  <si>
    <t>2022-05-12-DECISION TO GRANT OR REGISTRATION OF PATENT RIGHT|2022-06-07-WRITTEN DECISION TO GRANT</t>
  </si>
  <si>
    <t>https://patentscout.innography.com/share/3cW5JLK6vhRSsdzRHFMfbw%3D%3D/download</t>
  </si>
  <si>
    <t>https://v3.espacenet.com/publicationDetails/biblio?CC=KR&amp;NR=102407595B1&amp;KC=B1&amp;FT=D&amp;date=20220610&amp;DB=EPODOC&amp;locale=</t>
  </si>
  <si>
    <t>KR20102407595 B1</t>
  </si>
  <si>
    <t>1.  A method for providing a winery experience service based on a metaverse performed by an apparatus, the method comprising: when it is confirmed that a first user terminal and an output device are connected, obtaining first user information through the first user terminal;analyzing a wine taste of a first user by checking a wine search history and a wine purchase history based on the first user information;applying the analysis result of the first user's wine taste to a first artificial neural network, and selecting the recommended wine of the first user based on the output of the first artificial neural network;When a plurality of wines are selected as the recommended wine of the first user, generating a recommended wine list from the selected plurality of wines;setting a priority of each of the wines included in the recommended wine list according to a predetermined recommendation rule;When it is confirmed that the first user wears the output device, a winery selection screen is controlled to be displayed on the output device, and the wines included in the recommended wine list are selected with larger and brighter colors as the priority is higher. controlling to be displayed on the screen;When the first user is wearing a manipulation device, when a first wine is selected from among the wines included in the recommended wine list on the winery selection screen through the manipulation device, the first winery in which the first wine is produced determining that is selected;When the first winery is selected, the screen of the first virtual space is displayed on the output device so that the first user is connected to the first virtual space implemented as a metaverse environment corresponding to the real space of the first winery. controlling to be displayed; and when a movement in the first virtual space is requested through the manipulation device, a point at which the first user is located is changed on the first virtual space, and the screen of the first virtual space is centered on the changed point. A method of providing a metaverse-based winery experience service, comprising the step of controlling the display to be displayed on the output device.</t>
  </si>
  <si>
    <t>KR20030082180 A | KR20090077482 A | KR102260011 B1 | KR20140072452 A | KR20180086960 A | KR20210090933 A</t>
  </si>
  <si>
    <t>2021-09-09</t>
  </si>
  <si>
    <t>2041-09-09</t>
  </si>
  <si>
    <t>The present invention relates to a hometown farming education simulation server in which a user can grow crops in a metaverse space evaluate cultivation capacity and increase cultivation capacity through learning. The present invention provides a land creation module for generating virtual land a land brokerage module for providing sales information on virtual land that a user has pointed out as a candidate for homecoming among the virtual land and a plurality of items for growing conditions for the designated crops. Receive detailed cultivation conditions from the user and perform the growth simulation of the specified crops based on the detailed cultivation conditions of the items entered by the user the preset detailed cultivation conditions for the items not entered by the user and the cultivation environment conditions of the candidate land It may include a simulation module that</t>
  </si>
  <si>
    <t>Farming education simulation server using metaverse</t>
  </si>
  <si>
    <t>No, Hyun Churl</t>
  </si>
  <si>
    <t>KR20210120624A</t>
  </si>
  <si>
    <t>a land generation module for generating by one-to-one matching between real land and virtual land based on a real map;a recommendation module for presenting a budget distribution ratio for a purchase cost of a land area recommended for the selected land, a purchase cost of crops, and an incidental cost, when a land selection and a return budget are input from the user;A land brokerage module that collects real land sale information online, reflects it on matching virtual land in the metaverse, and provides information on the sale of the nominated virtual land to the user when the user nominates any one virtual land as a candidate for homecoming ; When the user designates a crop to be grown on the candidate land for returning home, a plurality of cultivation condition items are queried for the specified crop, and when the user inputs detailed cultivation conditions for the query items, the input item(s) is A simulation module that simulates the growth of the designated crop based on the detailed cultivation conditions and the default detailed cultivation conditions for the non-entered item(s) and the cultivation environment conditions of the candidate land, and displays the simulation results in virtual reality ;and an evaluation module for evaluating the user's farming knowledge score by comparing the detailed cultivation conditions for each cultivation condition item input by the user with the previously built cultivation recipe DB, wherein the simulation module grows the crop as the farming knowledge score increases The time required for the simulation is set shorter and the time required for the simulation is set to be longer as the farming knowledge score is lower, but when the farming knowledge score is changed by the modification or additional input of the detailed cultivation conditions during the execution of the simulation, the changed farming A hometown farming education simulation server using metaverse, characterized in that by resetting the required time of the simulation based on the knowledge score, the user's farming knowledge cultivation is induced.</t>
  </si>
  <si>
    <t>a land generation module for generating by one-to-one matching between real land and virtual land based on a real map;a recommendation module for presenting a budget distribution ratio for a purchase cost of a land area recommended for the selected land, a purchase cost of crops, and an incidental cost, when a land selection and a return budget are input from the user;A land brokerage module that collects real land sale information online, reflects it on matching virtual land in the metaverse, and provides information on the sale of the nominated virtual land to the user when the user nominates any one virtual land as a candidate for homecoming ; When the user designates a crop to be grown on the candidate land for returning home, a plurality of cultivation condition items are queried for the specified crop, and when the user inputs detailed cultivation conditions for the query items, the input item(s) is A simulation module that simulates the growth of the designated crop based on the detailed cultivation conditions and the default detailed cultivation conditions for the non-entered item(s) and the cultivation environment conditions of the candidate land, and displays the simulation results in virtual reality ;
and an evaluation module for evaluating the user's farming knowledge score by comparing the detailed cultivation conditions for each cultivation condition item input by the user with the previously built cultivation recipe DB, wherein the simulation module grows the crop as the farming knowledge score increases The time required for the simulation is set shorter and the time required for the simulation is set to be longer as the farming knowledge score is lower, but when the farming knowledge score is changed by the modification or additional input of the detailed cultivation conditions during the execution of the simulation, the changed farming A hometown farming education simulation server using metaverse, characterized in that by resetting the required time of the simulation based on the knowledge score, the user's farming knowledge cultivation is induced.
delete
delete
According to claim 1, wherein the cultivation condition items presented by the simulation module, fertilizer for each growth stage, water supply for each growth stage, pesticide for each growth stage, cultivation temperature, sunlight, cultivation interval, ventilation time, pruning or not, installation of cultivation house facilities Home farming education simulation server using metaverse, characterized in that it includes.
5. The method of claim 4, wherein the cultivation environmental conditions of the candidate land include: acidity of the land, the elevation of the land above sea level, the expected amount of sunlight in the designated period, the average precipitation in the designated period, the average temperature in the designated period, the frequency of occurrence of hail within the designated period, and the designated A hometown farming education simulation server using metaverse, characterized in that it includes the frequency of occurrence of cold damage within the period and the frequency of occurrence of typhoons within the specified period.
The method of claim 1, further comprising a disaster event module for notifying a user of an exceptional disaster occurrence event during the simulation execution and further presenting a cultivation condition item according to the disaster to the user, wherein the evaluation module comprises: According to the occurrence event, the user's farming knowledge score is reevaluated by comparing the detailed disaster prevention conditions additionally input by the user with the pre-established cultivation recipe DB, and the simulation module includes the number of detailed disaster prevention condition items entered by the user and A hometown farming education simulation server using metaverse, characterized in that resetting the simulation time required in inverse proportion to the re-evaluated farming knowledge score.
The calculation according to claim 6, wherein the expected income is calculated based on the purchase cost of the land, the cost of purchasing the selected crop, the purchase cost of a paid item among the input detailed cultivation conditions, and the expected sales amount of the crop produced according to the simulation result. A home farming education simulation server using a metaverse that further includes a module.</t>
  </si>
  <si>
    <t>G06Q05020000 | G06Q05010000 | G06T01900000</t>
  </si>
  <si>
    <t>KR102411058B1</t>
  </si>
  <si>
    <t>KR102411058 B1</t>
  </si>
  <si>
    <t>I-000227297301</t>
  </si>
  <si>
    <t>20 years from 2021-09-09 (file date)</t>
  </si>
  <si>
    <t>https://patentscout.innography.com/share/5roE9Bf9K8CbxtoBTq_rFw%3D%3D</t>
  </si>
  <si>
    <t>2022-06-14-DECISION TO GRANT OR REGISTRATION OF PATENT RIGHT|2022-06-15-WRITTEN DECISION TO GRANT</t>
  </si>
  <si>
    <t>https://patentscout.innography.com/share/5roE9Bf9K8CbxtoBTq_rFw%3D%3D/download</t>
  </si>
  <si>
    <t>https://v3.espacenet.com/publicationDetails/biblio?CC=KR&amp;NR=102411058B1&amp;KC=B1&amp;FT=D&amp;date=20220622&amp;DB=EPODOC&amp;locale=</t>
  </si>
  <si>
    <t>KR20102411058 B1</t>
  </si>
  <si>
    <t>1.  a land generation module for generating by one-to-one matching between real land and virtual land based on a real map;a recommendation module for presenting a budget distribution ratio for a purchase cost of a land area recommended for the selected land, a purchase cost of crops, and an incidental cost, when a land selection and a return budget are input from the user;A land brokerage module that collects real land sale information online, reflects it on matching virtual land in the metaverse, and provides information on the sale of the nominated virtual land to the user when the user nominates any one virtual land as a candidate for homecoming ; When the user designates a crop to be grown on the candidate land for returning home, a plurality of cultivation condition items are queried for the specified crop, and when the user inputs detailed cultivation conditions for the query items, the input item(s) is A simulation module that simulates the growth of the designated crop based on the detailed cultivation conditions and the default detailed cultivation conditions for the non-entered item(s) and the cultivation environment conditions of the candidate land, and displays the simulation results in virtual reality ;
and an evaluation module for evaluating the user's farming knowledge score by comparing the detailed cultivation conditions for each cultivation condition item input by the user with the previously built cultivation recipe DB, wherein the simulation module grows the crop as the farming knowledge score increases The time required for the simulation is set shorter and the time required for the simulation is set to be longer as the farming knowledge score is lower, but when the farming knowledge score is changed by the modification or additional input of the detailed cultivation conditions during the execution of the simulation, the changed farming A hometown farming education simulation server using metaverse, characterized in that by resetting the required time of the simulation based on the knowledge score, the user's farming knowledge cultivation is induced.</t>
  </si>
  <si>
    <t>JP2014053003 A | KR20010067003 A</t>
  </si>
  <si>
    <t>2022-06-29</t>
  </si>
  <si>
    <t>2022-03-30</t>
  </si>
  <si>
    <t>2042-03-30</t>
  </si>
  <si>
    <t>Disclosed are a method and apparatus for managing an object based on an attribute system for a metaverse environment. The property system-based object management method for the metaverse environment of the present invention creates a plurality of objects for a virtual space implemented based on the metaverse environment and assigns a property type to the plurality of objects based on the characteristics of the plurality of objects. Determining as one of the parent property and the lower property; Granting permission related to the attribute collecting the connection patterns of a plurality of users accessing the virtual space and setting the ratings for the plurality of users to one of a plurality of preset ratings through the analysis of the collected connection patterns decision step Granting a plurality of users with access to a plurality of objects in a virtual space based on the determined rating for the plurality of users and a permission related to a range allowed to share and attributes granted to the plurality of objects; and supporting a virtual space implemented based on the metaverse environment based on the related authority and the authority related to the range granted to the plurality of users.</t>
  </si>
  <si>
    <t>Object management method based on attribute system for metaverse environment and apparatus therefore</t>
  </si>
  <si>
    <t>Kim, Young Hwan; Kim, Mi Sun</t>
  </si>
  <si>
    <t>KR20220039555A</t>
  </si>
  <si>
    <t>An object management method performed in an object management apparatus based on an attribute system for objects created and implemented in a metaverse environment, wherein a plurality of objects for a virtual space implemented based on the metaverse environment are created and the plurality of objects are determining a property type of the plurality of objects as one of an upper property and a lower property based on the properties of the objects;At least one sub-property object as a sub-concept of the higher-level property object with respect to the higher-level property object so that the upper-level property object having the higher-level property type and the lower-level property object having the lower property type are linked with each other based on the property system Granting the authority related to the parent property by granting a folder method-based parent property, which is a functional property that means a right that can be linked, including;At least one higher-level property object with the upper-level property object as a higher concept with respect to the lower-level property object so that the upper-level property object having the upper-level property type and the lower-level property object having the lower-level property type are linked with each other based on the property system granting a right related to the sub-attribute by giving a file method-based sub-attribute, which is a functional property that means a right to be included in and linked to;collecting connection patterns of a plurality of users accessing the virtual space and determining a grade for the plurality of users as one of a plurality of preset grades through analysis of the collected connection patterns; granting the plurality of users an authority related to a range in which sharing is allowed by accessing the plurality of objects in the virtual space based on the determined rating for the plurality of users;and supporting the virtual space implemented based on the metaverse environment based on a right related to a property granted to the plurality of objects and a right related to a range granted to the plurality of users. , the plurality of preset grades are a third grade to which a visually shared visual sharing permission for the plurality of objects is granted, a visual sharing permission corresponding to the third grade, and the sub-attribute object among the plurality of objects A second level that is physically shared with respect to a physical sharing right is granted, the visual sharing right, a physical sharing right corresponding to the second level, and a utilization that allows the use of editing for a sub-attribute object among the plurality of objects A method for managing objects, comprising a first class to which sharing rights are granted.</t>
  </si>
  <si>
    <t>An object management method performed in an object management apparatus based on an attribute system for objects created and implemented in a metaverse environment, wherein a plurality of objects for a virtual space implemented based on the metaverse environment are created and the plurality of objects are determining a property type of the plurality of objects as one of an upper property and a lower property based on the properties of the objects;At least one sub-property object as a sub-concept of the higher-level property object with respect to the higher-level property object so that the upper-level property object having the higher-level property type and the lower-level property object having the lower property type are linked with each other based on the property system Granting the authority related to the parent property by granting a folder method-based parent property, which is a functional property that means a right that can be linked, including;At least one higher-level property object with the upper-level property object as a higher concept with respect to the lower-level property object so that the upper-level property object having the upper-level property type and the lower-level property object having the lower-level property type are linked with each other based on the property system granting a right related to the sub-attribute by giving a file method-based sub-attribute, which is a functional property that means a right to be included in and linked to;collecting connection patterns of a plurality of users accessing the virtual space and determining a grade for the plurality of users as one of a plurality of preset grades through analysis of the collected connection patterns; granting the plurality of users an authority related to a range in which sharing is allowed by accessing the plurality of objects in the virtual space based on the determined rating for the plurality of users;
and supporting the virtual space implemented based on the metaverse environment based on a right related to a property granted to the plurality of objects and a right related to a range granted to the plurality of users. , the plurality of preset grades are a third grade to which a visually shared visual sharing permission for the plurality of objects is granted, a visual sharing permission corresponding to the third grade, and the sub-attribute object among the plurality of objects A second level that is physically shared with respect to a physical sharing right is granted, the visual sharing right, a physical sharing right corresponding to the second level, and a utilization that allows the use of editing for a sub-attribute object among the plurality of objects A method for managing objects, comprising a first class to which sharing rights are granted.
delete
The method according to claim 1, wherein the determining of the one grade comprises: collecting information on a frequency of connection within a preset period of the plurality of users accessing the virtual space and a residence time of the plurality of users in the virtual space to do;comparing the collected access frequency with a preset reference value and determining a rating of a user whose access frequency is less than the reference value as a third rating with the narrowest sharing allowed range;classifying a range of a residence time of a user whose access frequency is equal to or greater than a reference value into three groups of the same size and determining a class of a shorter stay time among the three groups as the third class;determining a grade of an intermediate residence time range among the three groups divided by the same size as a second grade having an intermediate range allowing sharing by accessing the plurality of objects; and determining a grade of a long residence time range among the three groups divided by the same size as a first grade with a large sharing allowed range by accessing the plurality of objects. How to manage objects.
delete</t>
  </si>
  <si>
    <t>Kim, Young Hwan|Kim, Mi Sun</t>
  </si>
  <si>
    <t>G06F0021300000</t>
  </si>
  <si>
    <t>G06F01643500</t>
  </si>
  <si>
    <t>G06F01643500 | G06F01641000 | G06F01644000 | G06F02130000 | G06Q05010000 | G06T01900000</t>
  </si>
  <si>
    <t>KR102415228B1</t>
  </si>
  <si>
    <t>KR102415228 B1</t>
  </si>
  <si>
    <t>I-000227551804</t>
  </si>
  <si>
    <t>20 years from 2022-03-30 (file date)</t>
  </si>
  <si>
    <t>https://patentscout.innography.com/share/EBWMcXzY1_jNVs73rGTsXw%3D%3D</t>
  </si>
  <si>
    <t>2022-06-21-DECISION TO GRANT OR REGISTRATION OF PATENT RIGHT|2022-06-27-WRITTEN DECISION TO GRANT</t>
  </si>
  <si>
    <t>https://patentscout.innography.com/share/EBWMcXzY1_jNVs73rGTsXw%3D%3D/download</t>
  </si>
  <si>
    <t>https://v3.espacenet.com/publicationDetails/biblio?CC=KR&amp;NR=102415228B1&amp;KC=B1&amp;FT=D&amp;date=20220629&amp;DB=EPODOC&amp;locale=</t>
  </si>
  <si>
    <t>KR20102415228 B1</t>
  </si>
  <si>
    <t>1.  An object management method performed in an object management apparatus based on an attribute system for objects created and implemented in a metaverse environment, wherein a plurality of objects for a virtual space implemented based on the metaverse environment are created and the plurality of objects are determining a property type of the plurality of objects as one of an upper property and a lower property based on the properties of the objects;At least one sub-property object as a sub-concept of the higher-level property object with respect to the higher-level property object so that the upper-level property object having the higher-level property type and the lower-level property object having the lower property type are linked with each other based on the property system Granting the authority related to the parent property by granting a folder method-based parent property, which is a functional property that means a right that can be linked, including;At least one higher-level property object with the upper-level property object as a higher concept with respect to the lower-level property object so that the upper-level property object having the upper-level property type and the lower-level property object having the lower-level property type are linked with each other based on the property system granting a right related to the sub-attribute by giving a file method-based sub-attribute, which is a functional property that means a right to be included in and linked to;collecting connection patterns of a plurality of users accessing the virtual space and determining a grade for the plurality of users as one of a plurality of preset grades through analysis of the collected connection patterns; granting the plurality of users an authority related to a range in which sharing is allowed by accessing the plurality of objects in the virtual space based on the determined rating for the plurality of users;
and supporting the virtual space implemented based on the metaverse environment based on a right related to a property granted to the plurality of objects and a right related to a range granted to the plurality of users. , the plurality of preset grades are a third grade to which a visually shared visual sharing permission for the plurality of objects is granted, a visual sharing permission corresponding to the third grade, and the sub-attribute object among the plurality of objects A second level that is physically shared with respect to a physical sharing right is granted, the visual sharing right, a physical sharing right corresponding to the second level, and a utilization that allows the use of editing for a sub-attribute object among the plurality of objects A method for managing objects, comprising a first class to which sharing rights are granted.</t>
  </si>
  <si>
    <t>JP2001160154 A | KR101685564 B1 | KR20180000022 A</t>
  </si>
  <si>
    <t>The present invention relates to a method for grouping users in a metaverse-based office environment and more particularly to grouping participants (users) connected to the office environment in building an office environment in a three-dimensional virtual space based on the metaverse. it is for In particular according to the movement and gaze of a character (avatar) in a virtual space the present invention automatically joins and leaves a conversation group thereby enabling natural conversation participation like reality. More specifically the present invention sets up a dialogue group through spatial conditions such as the distance between characters the setting area the field of view and the structures and objects in the virtual space in a virtual office environment so that a more realistic dialogue group can be formed. By providing the same level of conversation as having a conversation in person in the real world the bond between members can be greatly improved. Accordingly reliability and competitiveness can be improved in the metaverse field virtual reality field and virtual office field as well as similar or related fields.</t>
  </si>
  <si>
    <t>User grouping method in metaverse based office environment, storage medium in which a program executing the same, and user grouping system including the same</t>
  </si>
  <si>
    <t>KR20210189970A</t>
  </si>
  <si>
    <t>a target user confirmation step of confirming a camera viewpoint of a target user in a virtual space, and confirming target users included in a virtual image of the corresponding camera viewpoint; and a user grouping step of grouping target users who satisfy a set grouping condition among the target users based on the target user's avatar position and gaze direction, wherein the user grouping step includes: Using the node as a node, a minimum spanning tree is constructed with the edges connecting each node, and based on the target user, the minimum spanning tree is used to check whether the condition for maintaining a dialogue group is satisfied, and based on this, the target user's group A user grouping method in a metaverse-based office environment, characterized in that it is determined whether to maintain or not.</t>
  </si>
  <si>
    <t>a target user confirmation step of confirming a camera viewpoint of a target user in a virtual space, and confirming target users included in a virtual image of the corresponding camera viewpoint; and a user grouping step of grouping target users who satisfy a set grouping condition among the target users based on the target user's avatar position and gaze direction, wherein the user grouping step includes: Using the node as a node, a minimum spanning tree is constructed with the edges connecting each node, and based on the target user, the minimum spanning tree is used to check whether the condition for maintaining a dialogue group is satisfied, and based on this, the target user's group A user grouping method in a metaverse-based office environment, characterized in that it is determined whether to maintain or not.
The method of claim 1 , wherein the grouping of users comprises: a field of view checking step of checking a field of view based on a position and a gaze direction of an avatar of a target user; and a grouping step by condition of grouping target users who satisfy a set grouping condition among the target users included in the field of view.
The method of claim 2, wherein the checking of the field of view comprises: generating a user list for listing target users included in the current virtual image;a clustering possibility checking step of confirming whether the target users included in the list include a cluster;an intra-line-of-sight checking step of confirming whether the corresponding target user exists in the target user's gaze direction and area;an object interference checking step of confirming whether an object in the virtual space interferes with the object;a cluster inclusion checking step of checking whether the target user has formed a cluster with the target user or has left the cluster; and a descending sorting step of sorting in descending order according to the cosine similarity of the vector formed by the target user's position and the target user's position and the vector viewed by the target user; grouping method.
The method of claim 2, wherein the grouping by condition comprises: a group candidate search step of searching for target users to be included in a chat group;a group candidate confirmation step of confirming a corresponding target user based on the search result of the group candidate search step;a group participation request step of requesting a target user who is a corresponding group candidate to participate in the group; and a group participation step of maintaining the target user's group participation based on a set grouping condition when the target user's group participation is confirmed.
5. The method of claim 4, wherein the group candidate search step searches for a target user by checking whether the target user exists within the target user's line of sight, and the group candidate check step includes, if the target user exists within the target user's line of sight, the target user A user grouping method in a metaverse-based office environment, characterized in that it identifies as a group candidate.
5. The method of claim 4, wherein the grouping by condition comprises: a new group search confirmation step of confirming whether the corresponding target user has found a more suitable group than the current group;a group withdrawal request step of requesting to leave the current chat group when the target user deviates from the grouping condition of the current group or confirms a new group; and a group leaving step of leaving the current conversation group in response to the corresponding withdrawal request;
A storage medium in which a program for executing the user grouping method in the metaverse-based office environment of any one of claims 1 to 6 is recorded.
A user grouping system in a metaverse-based office environment including the storage medium of claim 7.
delete</t>
  </si>
  <si>
    <t>KR102423902B1</t>
  </si>
  <si>
    <t>KR102423902 B1</t>
  </si>
  <si>
    <t>I-000228315422</t>
  </si>
  <si>
    <t>https://patentscout.innography.com/share/oR8Md9aZmspNnWGZ4ZW6Hw%3D%3D</t>
  </si>
  <si>
    <t>2022-07-14-DECISION TO GRANT OR REGISTRATION OF PATENT RIGHT|2022-07-18-WRITTEN DECISION TO GRANT</t>
  </si>
  <si>
    <t>https://patentscout.innography.com/share/oR8Md9aZmspNnWGZ4ZW6Hw%3D%3D/download</t>
  </si>
  <si>
    <t>https://v3.espacenet.com/publicationDetails/biblio?CC=KR&amp;NR=102423902B1&amp;KC=B1&amp;FT=D&amp;date=20220722&amp;DB=EPODOC&amp;locale=</t>
  </si>
  <si>
    <t>KR20102423902 B1</t>
  </si>
  <si>
    <t>1.  a target user confirmation step of confirming a camera viewpoint of a target user in a virtual space, and confirming target users included in a virtual image of the corresponding camera viewpoint; and a user grouping step of grouping target users who satisfy a set grouping condition among the target users based on the target user's avatar position and gaze direction, wherein the user grouping step includes: Using the node as a node, a minimum spanning tree is constructed with the edges connecting each node, and based on the target user, the minimum spanning tree is used to check whether the condition for maintaining a dialogue group is satisfied, and based on this, the target user's group A user grouping method in a metaverse-based office environment, characterized in that it is determined whether to maintain or not.</t>
  </si>
  <si>
    <t>KR101923723 B1 | KR101928076 B1 | KR102187503 B1 | KR102343582 B1 | KR20160038971 A | KR20180120456 A</t>
  </si>
  <si>
    <t>2022-09-01</t>
  </si>
  <si>
    <t>The present invention relates to a user location analysis monitoring system in a metaverse environment. Specifically a location acquisition camera including a beacon reader that acquires three or more general RGB images infrared images and depth images for correction installed in the metaverse content space and recognizes beacon tags provided by the user; a big data server for receiving and storing information from the location collecting camera through wired/wireless communication; Monitoring software that receives information from the big data server to store and inquire the user&amp;#39;s location information visualize it and enable analysis such as path tracking; user location analysis in the metaverse environment configured including: It is about the monitoring system.</t>
  </si>
  <si>
    <t>User location analysis monitoring system in metaverse environment</t>
  </si>
  <si>
    <t>Pai Media Lab Inc.; Kr. Taims Co., Ltd.</t>
  </si>
  <si>
    <t>Pai Media Lab Inc.</t>
  </si>
  <si>
    <t>PAI MEDIA LAB INC.</t>
  </si>
  <si>
    <t>KR20220026766A</t>
  </si>
  <si>
    <t>at least three position collecting cameras installed in the metaverse environment;a hub communicating with the location collecting camera by wire/wireless;a big data server for receiving and storing information of the location collecting camera through the hub;Monitoring software that inquires a user location by utilizing information stored in the big data server, visualizes a user location based on mapping, and analyzes a user's path based on location information; analyzes user location in a metaverse environment configured including; A monitoring system comprising: a camera for acquiring a general RGB image in a metaverse environment;an infrared camera for acquiring an infrared image;a depth camera for acquiring a correction image for correcting a user included in the image acquired through the camera and the infrared camera;A beacon reader for recognizing the beacon given to the user and acquiring the user's location as information; After specifying the object based on the pixel analysis in the image specified through the camera, the unit is stored through the big data server after assigning the identification information of the location collecting camera that obtained the image information on the corresponding image information, If the monitoring software has a path that is getting farther away from the process of analyzing the location information of the user recognized through the beacon reader, the monitoring software links the location information of the user with the big data server through the communication unit, and the big data server On the image information photographed from the location collecting camera, it is determined that the location collecting camera has acquired image information having an object having the same pixel analysis value as the object specified in the image information to which the identification information is given, and By assigning identification information to the relevant image information, Since then, by analyzing the path by grasping the position information of the object in the new position collecting camera, the monitoring software can continuously determine and analyze the user's position even if the user's movement range is wide. User location analysis monitoring system in the environment.</t>
  </si>
  <si>
    <t>at least three position collecting cameras installed in the metaverse environment;a hub communicating with the location collecting camera by wire/wireless;a big data server for receiving and storing information of the location collecting camera through the hub;Monitoring software that inquires a user location by utilizing information stored in the big data server, visualizes a user location based on mapping, and analyzes a user's path based on location information; analyzes user location in a metaverse environment configured including; A monitoring system comprising: a camera for acquiring a general RGB image in a metaverse environment;an infrared camera for acquiring an infrared image;a depth camera for acquiring a correction image for correcting a user included in the image acquired through the camera and the infrared camera;A beacon reader for recognizing the beacon given to the user and acquiring the user's location as information; After specifying the object based on the pixel analysis in the image specified through the camera, the unit is stored through the big data server after assigning the identification information of the location collecting camera that obtained the image information on the corresponding image information, If the monitoring software has a path that is getting farther away from the process of analyzing the location information of the user recognized through the beacon reader, the monitoring software links the location information of the user with the big data server through the communication unit, and the big data server On the image information photographed from the location collecting camera, it is determined that the location collecting camera has acquired image information having an object having the same pixel analysis value as the object specified in the image information to which the identification information is given, and By assigning identification information to the relevant image information, Since then, by analyzing the path by grasping the position information of the object in the new position collecting camera, the monitoring software can continuously determine and analyze the user's position even if the user's movement range is wide. User location analysis monitoring system in the environment.
The method according to claim 1, wherein the monitoring software comprises: a communication unit operable to communicate with the big data server;a storage unit for receiving and storing information of the big data server;a query unit for inquiring the user's location information by time based on the location information stored in the storage unit;a visualization unit that maps the location information stored in the storage unit and the metaverse environment and outputs a predetermined image;and an analysis unit that analyzes the movement path of the user based on the real-time location information stored in the storage unit.
delete
The system according to claim 1, wherein the location acquisition camera comprises an antenna for enabling mobile communication, LoRa communication, and Wi-Fi communication.</t>
  </si>
  <si>
    <t>Yeo, Byungsang|Gim, Hwan Seok</t>
  </si>
  <si>
    <t>G06Q05010000 | G06T01340000 | G06T01705000 | H04N01323900 | H04N01327100 | H04W00402000</t>
  </si>
  <si>
    <t>KR102439122B1</t>
  </si>
  <si>
    <t>KR102439122 B1</t>
  </si>
  <si>
    <t>I-000230096935</t>
  </si>
  <si>
    <t>https://patentscout.innography.com/share/-VuZJDh8_NrRJV0uKzEZOg%3D%3D</t>
  </si>
  <si>
    <t>2022-08-25-DECISION TO GRANT OR REGISTRATION OF PATENT RIGHT|2022-08-29-WRITTEN DECISION TO GRANT</t>
  </si>
  <si>
    <t>https://patentscout.innography.com/share/-VuZJDh8_NrRJV0uKzEZOg%3D%3D/download</t>
  </si>
  <si>
    <t>https://v3.espacenet.com/publicationDetails/biblio?CC=KR&amp;NR=102439122B1&amp;KC=B1&amp;FT=D&amp;date=20220901&amp;DB=EPODOC&amp;locale=</t>
  </si>
  <si>
    <t>KR20102439122 B1</t>
  </si>
  <si>
    <t>1.  at least three position collecting cameras installed in the metaverse environment;a hub communicating with the location collecting camera by wire/wireless;a big data server for receiving and storing information of the location collecting camera through the hub;Monitoring software that inquires a user location by utilizing information stored in the big data server, visualizes a user location based on mapping, and analyzes a user's path based on location information; analyzes user location in a metaverse environment configured including; A monitoring system comprising: a camera for acquiring a general RGB image in a metaverse environment;an infrared camera for acquiring an infrared image;a depth camera for acquiring a correction image for correcting a user included in the image acquired through the camera and the infrared camera;A beacon reader for recognizing the beacon given to the user and acquiring the user's location as information; After specifying the object based on the pixel analysis in the image specified through the camera, the unit is stored through the big data server after assigning the identification information of the location collecting camera that obtained the image information on the corresponding image information, If the monitoring software has a path that is getting farther away from the process of analyzing the location information of the user recognized through the beacon reader, the monitoring software links the location information of the user with the big data server through the communication unit, and the big data server On the image information photographed from the location collecting camera, it is determined that the location collecting camera has acquired image information having an object having the same pixel analysis value as the object specified in the image information to which the identification information is given, and By assigning identification information to the relevant image information, Since then, by analyzing the path by grasping the position information of the object in the new position collecting camera, the monitoring software can continuously determine and analyze the user's position even if the user's movement range is wide. User location analysis monitoring system in the environment.</t>
  </si>
  <si>
    <t>JP2007188310 A | KR20030079378 A | KR20090053183 A | KR102218089 B1 | KR20130082693 A</t>
  </si>
  <si>
    <t>2022-12-12</t>
  </si>
  <si>
    <t>2022-02-03</t>
  </si>
  <si>
    <t>2042-02-03</t>
  </si>
  <si>
    <t>The immersive video synthesis system based on the metaverse according to the present invention transmits a video chatting space entry request signal requesting a user&amp;#39;s entry to a video chatting space created in the metaverse and in which a plurality of users enter as participants and conduct video chatting. user device; and converting video image data of other participants into effective video image data used for video chatting and for the video chatting space corresponding to the effective video video data and first participant location information of the participant on the video chatting space. It may include; an operating server generating video chatting video data by combining video chatting space video data.</t>
  </si>
  <si>
    <t>System for synthesizing of immersive video based metaverse</t>
  </si>
  <si>
    <t>KR20220014403A</t>
  </si>
  <si>
    <t>A video chatting space entry request signal requesting a user's entry to a video chatting space created in the metaverse and in which a plurality of users enter as participants and conducts video chatting is transmitted, but an entry request button is input from the user. A preset event is one of a situation in which a user's avatar approaches another user's avatar, a situation in which the user's avatar enters a preset area in the metaverse, and a situation in which the user's avatar approaches the video chatting space. a user device for transmitting a request signal to enter the video chatting space, if generated; and converting video image data of other participants into effective video image data used for video chatting, and for the video chatting space corresponding to the effective video video data and the first participant location information of the participant in the video chatting space. and an operating server generating video chatting video data by combining video data of the video chatting space, wherein the video image data is generated by capturing an image of another participant by a user device of the other participant who has entered the video chatting space. The operation server sets the transparency of the image image data corresponding to the background area and the non-utilized body region of the other participant in the image image data to a reference transparency, and sets the image image data corresponding to the non-utilized body region of the other participant. The image image data is converted into the effective image image data by maintaining the transparency of the image image data, the transparency of which is set as the reference transparency, the transparency of which is not displayed on the screen of the user device, Image image data corresponding to the background region whose transparency is set to the reference transparency and the non-utilized body region of the other participant are not displayed on the screen of the user device, and the non-utilized body region is not utilized as the effective image image data. body region of another participant, the operation server is based on the chat space structure information of the video chat space, the first participant location information, and the second participant location information of the other participant on the video chat space Set geometry information of the effective video image data in the video chat space indicated by the video chat space video data, and the operating server is included in the geometry information and a separation distance between the participant and the other participants in the video chat space generating image perspective information so that the perspective according to is expressed in the effective image image indicated by the effective image image data; The operation server generates the image perspective information based on position difference information between the first participant location information and the second participant location information, and the operation server generates the image size of the valid image image data to which the image perspective information is applied. If is less than the reference video size, correct the video size of the effective video image data so that the video size of the effective video image data is equal to or larger than the reference video size, and the left edge and right edge of the effective video image of the effective video image data The length of the edge closer to the position indicated by the first participant location information is maintained, and the position indicated by the first participant location information and the lower edge of the valid picture image of the effective picture image data appear closer to each other. correcting by increasing the image size of the effective image image of the effective image image data; The operation server extracts an uppermost layer object from the video chatting spatial image represented by the video chatting spatial image data, detects an overlapping region overlapping with the uppermost layer object from among the effective imagery represented by the effective video image data, and detects A transparency effect is applied to the overlapping area, and the uppermost layer object is a structure to be expressed as being located in a higher layer than the bodies of other participants represented by the effective video image among structures arranged in the video chatting space. A realistic image synthesis system based on the metaverse.</t>
  </si>
  <si>
    <t>A video chatting space entry request signal requesting a user's entry to a video chatting space created in the metaverse and in which a plurality of users enter as participants and conducts video chatting is transmitted, but an entry request button is input from the user. A preset event is one of a situation in which a user's avatar approaches another user's avatar, a situation in which the user's avatar enters a preset area in the metaverse, and a situation in which the user's avatar approaches the video chatting space. a user device for transmitting a request signal to enter the video chatting space, if generated; and converting video image data of other participants into effective video image data used for video chatting, and for the video chatting space corresponding to the effective video video data and the first participant location information of the participant in the video chatting space. and an operating server generating video chatting video data by combining video data of the video chatting space, wherein the video image data is generated by capturing an image of another participant by a user device of the other participant who has entered the video chatting space. The operation server sets the transparency of the image image data corresponding to the background area and the non-utilized body region of the other participant in the image image data to a reference transparency, and sets the image image data corresponding to the non-utilized body region of the other participant. The image image data is converted into the effective image image data by maintaining the transparency of the image image data, the transparency of which is set as the reference transparency, the transparency of which is not displayed on the screen of the user device, Image image data corresponding to the background region whose transparency is set to the reference transparency and the non-utilized body region of the other participant are not displayed on the screen of the user device, and the non-utilized body region is not utilized as the effective image image data. body region of another participant, the operation server is based on the chat space structure information of the video chat space, the first participant location information, and the second participant location information of the other participant on the video chat space Set geometry information of the effective video image data in the video chat space indicated by the video chat space video data, and the operating server is included in the geometry information and a separation distance between the participant and the other participants in the video chat space generating image perspective information so that the perspective according to is expressed in the effective image image indicated by the effective image image data; The operation server generates the image perspective information based on position difference information between the first participant location information and the second participant location information, and the operation server generates the image size of the valid image image data to which the image perspective information is applied. If is less than the reference video size, correct the video size of the effective video image data so that the video size of the effective video image data is equal to or larger than the reference video size, and the left edge and right edge of the effective video image of the effective video image data The length of the edge closer to the position indicated by the first participant location information is maintained, and the position indicated by the first participant location information and the lower edge of the valid picture image of the effective picture image data appear closer to each other. correcting by increasing the image size of the effective image image of the effective image image data; The operation server extracts an uppermost layer object from the video chatting spatial image represented by the video chatting spatial image data, detects an overlapping region overlapping with the uppermost layer object from among the effective imagery represented by the effective video image data, and detects A transparency effect is applied to the overlapping area, and the uppermost layer object is a structure to be expressed as being located in a higher layer than the bodies of other participants represented by the effective video image among structures arranged in the video chatting space. A realistic image synthesis system based on the metaverse.
delete
delete
The method of claim 1, wherein the operation server corrects the effective video image data based on the geometry information, and the effective video image indicated by the corrected effective video image data based on the geometry information is the video chatting space video. A metaverse-based realistic video synthesis system, characterized in that the video chat video data is generated by arranging the data in a video chat space image.
The video arrangement position according to claim 1, wherein the operation server is included in the geometry information and indicates a video arrangement position in which an effective video image indicated by the effective video image data is arranged in a video chatting space video indicated by the video chatting space video data. information, and the operation server selects structure information overlapping with the second participant location information as overlapping structure information among the structure information included in the chat space structure information, and the overlapping structure information and the second participant location information A metaverse-based realistic video synthesis system, characterized in that for generating the image arrangement location information based on.
delete
delete</t>
  </si>
  <si>
    <t>H04N0007150000</t>
  </si>
  <si>
    <t>H04N00715000</t>
  </si>
  <si>
    <t>H04N00715000 | G06T01900000 | H04N01315600 | H04N01336100 | H04N02147880 | H04N02181000</t>
  </si>
  <si>
    <t>KR102476830B1</t>
  </si>
  <si>
    <t>KR102476830 B1</t>
  </si>
  <si>
    <t>I-000233305897</t>
  </si>
  <si>
    <t>20 years from 2022-02-03 (file date)</t>
  </si>
  <si>
    <t>https://patentscout.innography.com/share/tDrxGrvgs6pM5Mdg_2xxXw%3D%3D</t>
  </si>
  <si>
    <t>2022-12-07-WRITTEN DECISION TO GRANT</t>
  </si>
  <si>
    <t>https://patentscout.innography.com/share/tDrxGrvgs6pM5Mdg_2xxXw%3D%3D/download</t>
  </si>
  <si>
    <t>https://v3.espacenet.com/publicationDetails/biblio?CC=KR&amp;NR=102476830B1&amp;KC=B1&amp;FT=D&amp;date=20221212&amp;DB=EPODOC&amp;locale=</t>
  </si>
  <si>
    <t>KR20102476830 B1</t>
  </si>
  <si>
    <t>1.  A video chatting space entry request signal requesting a user's entry to a video chatting space created in the metaverse and in which a plurality of users enter as participants and conducts video chatting is transmitted, but an entry request button is input from the user. A preset event is one of a situation in which a user's avatar approaches another user's avatar, a situation in which the user's avatar enters a preset area in the metaverse, and a situation in which the user's avatar approaches the video chatting space. a user device for transmitting a request signal to enter the video chatting space, if generated; and converting video image data of other participants into effective video image data used for video chatting, and for the video chatting space corresponding to the effective video video data and the first participant location information of the participant in the video chatting space. and an operating server generating video chatting video data by combining video data of the video chatting space, wherein the video image data is generated by capturing an image of another participant by a user device of the other participant who has entered the video chatting space. The operation server sets the transparency of the image image data corresponding to the background area and the non-utilized body region of the other participant in the image image data to a reference transparency, and sets the image image data corresponding to the non-utilized body region of the other participant. The image image data is converted into the effective image image data by maintaining the transparency of the image image data, the transparency of which is set as the reference transparency, the transparency of which is not displayed on the screen of the user device, Image image data corresponding to the background region whose transparency is set to the reference transparency and the non-utilized body region of the other participant are not displayed on the screen of the user device, and the non-utilized body region is not utilized as the effective image image data. body region of another participant, the operation server is based on the chat space structure information of the video chat space, the first participant location information, and the second participant location information of the other participant on the video chat space Set geometry information of the effective video image data in the video chat space indicated by the video chat space video data, and the operating server is included in the geometry information and a separation distance between the participant and the other participants in the video chat space generating image perspective information so that the perspective according to is expressed in the effective image image indicated by the effective image image data; The operation server generates the image perspective information based on position difference information between the first participant location information and the second participant location information, and the operation server generates the image size of the valid image image data to which the image perspective information is applied. If is less than the reference video size, correct the video size of the effective video image data so that the video size of the effective video image data is equal to or larger than the reference video size, and the left edge and right edge of the effective video image of the effective video image data The length of the edge closer to the position indicated by the first participant location information is maintained, and the position indicated by the first participant location information and the lower edge of the valid picture image of the effective picture image data appear closer to each other. correcting by increasing the image size of the effective image image of the effective image image data; The operation server extracts an uppermost layer object from the video chatting spatial image represented by the video chatting spatial image data, detects an overlapping region overlapping with the uppermost layer object from among the effective imagery represented by the effective video image data, and detects A transparency effect is applied to the overlapping area, and the uppermost layer object is a structure to be expressed as being located in a higher layer than the bodies of other participants represented by the effective video image among structures arranged in the video chatting space. A realistic image synthesis system based on the metaverse.</t>
  </si>
  <si>
    <t>KR20140050265 A | KR20140080720 A | KR20170030379 A | KR20190019708 A | KR20190107252 A | KR20210057338 A</t>
  </si>
  <si>
    <t>2022-04-11</t>
  </si>
  <si>
    <t>2021-08-03</t>
  </si>
  <si>
    <t>2041-08-03</t>
  </si>
  <si>
    <t>A system for providing business learning travel service using metaverse is provided and after conducting a travel propensity test and entering a business profile the travel propensity test result and characters corresponding to the business profile and a customized travel list are received. After selecting a desired city and itinerary receiving a rule explanation and tutorial video with QR code a user terminal that receives a guide through QR code recognition AR interaction and quest execution and travel tendency to identify at least one travel tendency A propensity storage unit that maps and stores questions and answers within the test and at least one travel tendency a profile storage unit that maps and stores characters and customized travel lists corresponding to at least one travel tendency and business profile at least one city and At least one QR code AR interaction short clip video A setting unit that sets a process by storing any one or a combination of quest and AR visual novel (Visual Novel) in time series order and a control unit that controls to run according to the process when at least one city and itinerary are selected in the user terminal It includes a learning travel service providing server that includes.</t>
  </si>
  <si>
    <t>System for providing business fieldtrip service using metaverse</t>
  </si>
  <si>
    <t>Manna Company Inc.</t>
  </si>
  <si>
    <t>Manna, Inc.</t>
  </si>
  <si>
    <t>KR20210101685A</t>
  </si>
  <si>
    <t>After conducting the travel propensity test and entering the business profile, receive the character and customized travel list corresponding to the travel propensity test result and business profile, select the desired city and itinerary from the customized travel list, and enter the rule ( Rule) A user terminal that receives explanations and tutorial videos, and guides travel through QR code recognition, AR interaction, and quest execution;and a disposition storage unit for mapping and storing the at least one travel disposition with questions and answers in the travel propensity test for understanding at least one travel propensity, a character corresponding to the at least one travel propensity and a business profile, and a customized travel list A profile storage unit that maps and stores at least one QR code, AR interaction, short clip image, quest and AR visual novel, or a combination of at least one in at least one city and itinerary in time series order a learning travel service providing server including a setting unit for storing and setting a process, and a control unit for controlling the operation to be performed according to the process when at least one city and itinerary are selected in the user terminal;Including, wherein the learning travel service providing server requests to leave a keyword in a preset section while performing the process in the user terminal, which is a plurality of user terminals belonging to different subjects, and assigns the keyword to the user for each travel schedule. Insight derivation unit for storing as a log of the terminal;a keyword providing unit for generating and outputting a word cloud after clustering at least one keyword written in the same travel destination in the plurality of user terminals;Business learning travel service providing system using metaverse, characterized in that it further comprises.</t>
  </si>
  <si>
    <t>After conducting the travel propensity test and entering the business profile, receive the character and customized travel list corresponding to the travel propensity test result and business profile, select the desired city and itinerary from the customized travel list, and enter the rule ( Rule) A user terminal that receives explanations and tutorial videos, and guides travel through QR code recognition, AR interaction, and quest execution;
and a disposition storage unit for mapping and storing the at least one travel disposition with questions and answers in the travel propensity test for understanding at least one travel propensity, a character corresponding to the at least one travel propensity and a business profile, and a customized travel list A profile storage unit that maps and stores at least one QR code, AR interaction, short clip image, quest and AR visual novel, or a combination of at least one in at least one city and itinerary in time series order a learning travel service providing server including a setting unit for storing and setting a process, and a control unit for controlling the operation to be performed according to the process when at least one city and itinerary are selected in the user terminal;Including, wherein the learning travel service providing server requests to leave a keyword in a preset section while performing the process in the user terminal, which is a plurality of user terminals belonging to different subjects, and assigns the keyword to the user for each travel schedule. Insight derivation unit for storing as a log of the terminal;a keyword providing unit for generating and outputting a word cloud after clustering at least one keyword written in the same travel destination in the plurality of user terminals;Business learning travel service providing system using metaverse, characterized in that it further comprises.
The method of claim 1, wherein the learning travel service providing server comprises: a floor recognition unit for recognizing a floor from the user terminal before performing the AR interaction or AR visual novel to arrange AR contents;Business learning travel service providing system using metaverse, characterized in that it further comprises.
The system of claim 1 , wherein the business learning travel service providing system using the metaverse comprises: at least one communication company terminal for generating and registering at least one travel schedule corresponding to at least one business profile;Business learning travel service providing system using metaverse, characterized in that it further comprises.
According to claim 3, wherein the learning travel service providing server, the at least one business profile and the at least one travel schedule association analysis unit for analyzing the degree of association by rule mining (Association Rule Mining);Business learning travel service providing system using metaverse, characterized in that it further comprises.
delete
delete</t>
  </si>
  <si>
    <t>Yoon, Seung Jin</t>
  </si>
  <si>
    <t>G06Q0050140000</t>
  </si>
  <si>
    <t>G06Q05014000</t>
  </si>
  <si>
    <t>G06Q05014000 | G06K01906000 | G06Q03006000 | G06Q05010000 | G06T01340000 | G06T01900000</t>
  </si>
  <si>
    <t>KR102383284B1</t>
  </si>
  <si>
    <t>KR102383284 B1</t>
  </si>
  <si>
    <t>I-000224352332</t>
  </si>
  <si>
    <t>20 years from 2021-08-03 (file date)</t>
  </si>
  <si>
    <t>https://patentscout.innography.com/share/KbJKS3UgA8dx5iEcKgcISg%3D%3D</t>
  </si>
  <si>
    <t>2022-03-27-DECISION TO GRANT OR REGISTRATION OF PATENT RIGHT|2022-04-01-WRITTEN DECISION TO GRANT</t>
  </si>
  <si>
    <t>https://patentscout.innography.com/share/KbJKS3UgA8dx5iEcKgcISg%3D%3D/download</t>
  </si>
  <si>
    <t>https://v3.espacenet.com/publicationDetails/biblio?CC=KR&amp;NR=102383284B1&amp;KC=B1&amp;FT=D&amp;date=20220411&amp;DB=EPODOC&amp;locale=</t>
  </si>
  <si>
    <t>KR20102383284 B1</t>
  </si>
  <si>
    <t>1.  After conducting the travel propensity test and entering the business profile, receive the character and customized travel list corresponding to the travel propensity test result and business profile, select the desired city and itinerary from the customized travel list, and enter the rule ( Rule) A user terminal that receives explanations and tutorial videos, and guides travel through QR code recognition, AR interaction, and quest execution;
and a disposition storage unit for mapping and storing the at least one travel disposition with questions and answers in the travel propensity test for understanding at least one travel propensity, a character corresponding to the at least one travel propensity and a business profile, and a customized travel list A profile storage unit that maps and stores at least one QR code, AR interaction, short clip image, quest and AR visual novel, or a combination of at least one in at least one city and itinerary in time series order a learning travel service providing server including a setting unit for storing and setting a process, and a control unit for controlling the operation to be performed according to the process when at least one city and itinerary are selected in the user terminal;Including, wherein the learning travel service providing server requests to leave a keyword in a preset section while performing the process in the user terminal, which is a plurality of user terminals belonging to different subjects, and assigns the keyword to the user for each travel schedule. Insight derivation unit for storing as a log of the terminal;a keyword providing unit for generating and outputting a word cloud after clustering at least one keyword written in the same travel destination in the plurality of user terminals;Business learning travel service providing system using metaverse, characterized in that it further comprises.</t>
  </si>
  <si>
    <t>KR102388233 B1</t>
  </si>
  <si>
    <t>Method and device for providing music source and nft id service using nft-based unique account and encryption applied to the metaverse space</t>
  </si>
  <si>
    <t>KR20220064768A</t>
  </si>
  <si>
    <t>A service providing method performed in a service providing device based on NFT (Non-Fungible Token) applied to a metaverse space, the NFT issued for a registered sound source of a platform providing the metaverse space and the sound source generating an NFT ID used to manage a sound source in the platform by matching identifiers for identification with each other;encrypting the NFT ID based on a preset encryption method to protect the sound source in the platform, and storing it in a database of the platform to match the sound source corresponding to the NFT ID; and providing a service by processing an event related to the sound source based on the NFT ID for an event related to the sound source generated by a plurality of users connected to the metaverse space provided by the platform, wherein the The event related to the sound source includes a first event requesting registration of a new sound source on the platform, a second event requesting a copyright purchase of a sound source registered on the platform, and streaming of a sound source registered on the platform in the metaverse space. A third event for requesting (streaming) and a fourth event for requesting download of a sound source registered on the platform, wherein the step of providing the service includes a terminal of a user who has generated an event related to the sound source and the sound source A method of requesting verification of an NFT ID for a sound source corresponding to an event related to and transmitting a response to an event related to a sound source to the user's terminal based on a result of the verification received from the user's terminal.</t>
  </si>
  <si>
    <t>A service providing method performed in a service providing device based on NFT (Non-Fungible Token) applied to a metaverse space, the NFT issued for a registered sound source of a platform providing the metaverse space and the sound source generating an NFT ID used to manage a sound source in the platform by matching identifiers for identification with each other;encrypting the NFT ID based on a preset encryption method to protect the sound source in the platform, and storing it in a database of the platform to match the sound source corresponding to the NFT ID; and providing a service by processing an event related to the sound source based on the NFT ID for an event related to the sound source generated by a plurality of users connected to the metaverse space provided by the platform, wherein the The event related to the sound source includes a first event requesting registration of a new sound source on the platform, a second event requesting a copyright purchase of a sound source registered on the platform, and streaming of a sound source registered on the platform in the metaverse space. A third event for requesting (streaming) and a fourth event for requesting download of a sound source registered on the platform, wherein the step of providing the service includes a terminal of a user who has generated an event related to the sound source and the sound source A method of requesting verification of an NFT ID for a sound source corresponding to an event related to and transmitting a response to an event related to a sound source to the user's terminal based on a result of the verification received from the user's terminal.
The method according to claim 1, wherein the generating of the NFT ID comprises collecting information on ownership, copyright, average transaction amount, transaction history number, and management status grade of the sound source registered in the platform, and each information is included in the block chain based issuing the NFT; and generating an identifier format having a structure of a plurality of fields in each information included in the NFT and matching each field to store each information in each field included in the identifier format to generate the NFT ID of the sound source. Characterized by the method of providing a service.
The method according to claim 1, wherein in the providing of the service, when it is determined that the event related to the sound source is the first event, a first sound source indicating the new sound source and an NFT ID for the first sound source are generated. requesting information required to perform the first event to the terminal of the first user who generated the first event;Encrypting an NFT ID generated based on information required to generate the NFT ID of the first sound source by the encryption method, matching the encrypted NFT ID with the first sound source, and storing the encrypted NFT ID in a database; and transmitting authentication information for authenticating that the first sound source is registered with the platform, an NFT ID for the first sound source, and information on an encryption method of the NFT ID for the first sound source to the terminal of the first user. A method of providing services, including.
The method according to claim 1, wherein in the providing of the service, when it is determined that the event related to the sound source is the second event, the amount of selling the copyright of the second sound source that means the sound source corresponding to the second event requesting the payment of the second user to the terminal of the second user who generated the second event; when it is determined that the payment is completed, requesting update-required information to be updated among the pieces of information included in the NFT of the second sound source to the terminal of the second user; generating an NFT ID of the second sound source by updating information included in the NFT of the second sound source based on update required information received from the second user's terminal; and providing a service for transmitting the second sound source, the NFT ID of the second sound source, and information on an encryption method of the NFT ID for the second sound source to the terminal of the second user..
The method according to claim 1, wherein the providing of the service comprises, when it is determined that the event related to the sound source is the third event, a sound source corresponding to the third event to a terminal of a third user that has generated the third event. requesting information on an encryption method of an NFT ID of a third sound source that means; comparing the encryption method received from the third user's terminal and the encryption method of the third sound source included in the database of the platform to determine whether they are the same; and when the encryption method received from the third user's terminal and the encryption method of the third sound source included in the database of the platform are the same, streaming of the third sound source is allowed and received from the third user's terminal If the encryption method and the encryption method of the third sound source included in the database of the platform are not the same, a payment for the amount for streaming of the third sound source is requested to the third user's terminal, and the payment is completed When it is determined that the third sound source and information on the encryption method for the third sound source are transmitted to the third user's terminal, allowing the streaming of the third sound source, the service providing method.
The method according to claim 1, wherein the providing of the service comprises, when it is determined that the event related to the sound source is the fourth event, a sound source corresponding to the fourth event to a terminal of a fourth user who generated the fourth event. requesting information on the encryption method of the NFT ID of the fourth sound source which means; comparing the encryption method received from the fourth user's terminal and the encryption method of the fourth sound source included in the database of the platform to determine whether they are the same; and when the encryption method received from the terminal of the fourth user and the encryption method of the fourth sound source included in the database of the platform are the same, the download of the fourth sound source is allowed and received from the terminal of the fourth user When the encryption method and the encryption method of the fourth sound source included in the database of the platform are not the same, a payment for the amount for downloading the fourth sound source is requested to the terminal of the fourth user, and the payment is completed and transmitting information on the fourth sound source and an encryption method for the fourth sound source to the fourth user's terminal when it is determined that the fourth sound source is allowed to download the fourth sound source.</t>
  </si>
  <si>
    <t>G06Q05010000 | G06F01661000 | G06F02110000 | G06F02144000 | G06F02162000 | G06Q05018000 | H04L00900000</t>
  </si>
  <si>
    <t>KR102451246B1</t>
  </si>
  <si>
    <t>KR102451246 B1</t>
  </si>
  <si>
    <t>I-000231193814</t>
  </si>
  <si>
    <t>https://patentscout.innography.com/share/J4wfhebiAhvWBOEf3FR3Gg%3D%3D</t>
  </si>
  <si>
    <t>2022-09-26-DECISION TO GRANT OR REGISTRATION OF PATENT RIGHT|2022-09-27-DIVISIONAL APPLICATION OF PATENT|2022-09-30-WRITTEN DECISION TO GRANT</t>
  </si>
  <si>
    <t>https://patentscout.innography.com/share/J4wfhebiAhvWBOEf3FR3Gg%3D%3D/download</t>
  </si>
  <si>
    <t>https://v3.espacenet.com/publicationDetails/biblio?CC=KR&amp;NR=102451246B1&amp;KC=B1&amp;FT=D&amp;date=20221006&amp;DB=EPODOC&amp;locale=</t>
  </si>
  <si>
    <t>KR20102451246 B1</t>
  </si>
  <si>
    <t>1.  A service providing method performed in a service providing device based on NFT (Non-Fungible Token) applied to a metaverse space, the NFT issued for a registered sound source of a platform providing the metaverse space and the sound source generating an NFT ID used to manage a sound source in the platform by matching identifiers for identification with each other;encrypting the NFT ID based on a preset encryption method to protect the sound source in the platform, and storing it in a database of the platform to match the sound source corresponding to the NFT ID; and providing a service by processing an event related to the sound source based on the NFT ID for an event related to the sound source generated by a plurality of users connected to the metaverse space provided by the platform, wherein the The event related to the sound source includes a first event requesting registration of a new sound source on the platform, a second event requesting a copyright purchase of a sound source registered on the platform, and streaming of a sound source registered on the platform in the metaverse space. A third event for requesting (streaming) and a fourth event for requesting download of a sound source registered on the platform, wherein the step of providing the service includes a terminal of a user who has generated an event related to the sound source and the sound source A method of requesting verification of an NFT ID for a sound source corresponding to an event related to and transmitting a response to an event related to a sound source to the user's terminal based on a result of the verification received from the user's terminal.</t>
  </si>
  <si>
    <t>KR102140332 B1 | KR20200094531 A | KR20210008687 A | KR20210013810 A | KR20210063284 A</t>
  </si>
  <si>
    <t>2022-05-13</t>
  </si>
  <si>
    <t>2021-07-14</t>
  </si>
  <si>
    <t>2041-07-14</t>
  </si>
  <si>
    <t>The present invention relates to a DeFi non-fungible token and metaverse platform system comprising: a user computing device holding a non-fungible token or cryptocurrency as a node of a block chain network; a merchant computing device providing goods as a node of a block chain network;  a valuation server that evaluates the value of an AI art work generated by mining in the user computing device or the affiliated store computing device as a non-fungible token and provides an electronic wallet to each of the user computing device and the affiliated store computing device and the user When a product purchase and sale agreement between the computing device and the affiliated store computing device is made a wallet providing server for transferring cryptocurrencies or non-fungible tokens between the electronic wallets may be included.</t>
  </si>
  <si>
    <t>Defi, non-fungible token and metaverse platform system</t>
  </si>
  <si>
    <t>Kim, Song Hwan</t>
  </si>
  <si>
    <t>KR20210092281A</t>
  </si>
  <si>
    <t>A user computing device holding cryptocurrency as a node of the blockchain network; A merchant computing device that provides products as a node of the blockchain network; a value evaluation server that evaluates the value of the AI art work generated by mining in the user computing device or the affiliated store computing device as a non-replaceable token; and providing an electronic wallet to each of the user computing device and the affiliated store computing device, and providing a wallet for transferring cryptocurrencies or non-fungible tokens between the electronic wallets when a product sale agreement is made between the user computing device and the affiliated store computing device Including a server, wherein the user computing device and the affiliated store computing device mine AI art works through mining in a group unit through grouping using one of a specific user computing device and the affiliated store computing device as a gateway, and the wallet providing server, Determines the grade according to the number of times of mining performed by the user computing device and the affiliated computing device belonging to the group, and divides the ownership stake in the mined AI art work according to the grade, and uses it for decoration of avatars and mining tools used for mining A system characterized in that it provides game points.</t>
  </si>
  <si>
    <t>A user computing device holding cryptocurrency as a node of the blockchain network; A merchant computing device that provides products as a node of the blockchain network; a value evaluation server that evaluates the value of the AI art work generated by mining in the user computing device or the affiliated store computing device as a non-replaceable token; and providing an electronic wallet to each of the user computing device and the affiliated store computing device, and providing a wallet for transferring cryptocurrencies or non-fungible tokens between the electronic wallets when a product sale agreement is made between the user computing device and the affiliated store computing device Including a server, wherein the user computing device and the affiliated store computing device mine AI art works through mining in a group unit through grouping using one of a specific user computing device and the affiliated store computing device as a gateway, and the wallet providing server, Determines the grade according to the number of times of mining performed by the user computing device and the affiliated computing device belonging to the group, and divides the ownership stake in the mined AI art work according to the grade, and uses it for decoration of avatars and mining tools used for mining A system characterized in that it provides game points.
The system according to claim 1, further comprising a metaverse providing server that provides a metaverse environment so that transactions are made in the metaverse environment with respect to at least the user computing device and the affiliated store computing device.
The system of claim 2, wherein the electronic wallet stores the non-fungible token according to the value of the AI art work, and transfers the non-fungible token to another electronic wallet according to the sale of the AI art work.
The method of claim 3, wherein the electronic wallet comprises a valuation module for determining the relative value ratio of each cryptocurrency using the current value information of the cryptocurrencies, and the relative value ratio of the cryptocurrencies is a specific cryptocurrency. A system characterized by determining the value of other cryptocurrencies as a standard.
The exchange module according to claim 4, wherein the electronic wallet exchanges a specific cryptocurrency for another cryptocurrency according to the evaluation result of the value evaluation module when there is a request for cryptocurrency exchange from the user computing device or the affiliated store computing device. A system further comprising a.
The system according to claim 4, wherein the AI art work is mined in the metaverse environment, and is shaped as a mining character and a mining tool to enable a user experience.
5. The method of claim 4, wherein the electronic wallet includes a location information module that checks the location information of the user computing device and provides location information of the affiliated store computing device within a range set based on the location information of the user computing device. system to do.
The system according to claim 1, wherein the product is a real product, service product, auction, funding, recruitment, cultural content, or AI art product.
The system of claim 8, wherein the AI artwork is mined alone or in collaboration with the user computing device or the affiliated store computing device.
The system according to claim 9, wherein the AI artwork is mined using generative adversarial networks (GAN).</t>
  </si>
  <si>
    <t>G06Q0020060000</t>
  </si>
  <si>
    <t>G06Q02006000</t>
  </si>
  <si>
    <t>G06Q02006000 | G06Q02012000 | G06Q02036000 | G06Q02038000</t>
  </si>
  <si>
    <t>KR102398366B1</t>
  </si>
  <si>
    <t>KR102398366 B1</t>
  </si>
  <si>
    <t>I-000225377455</t>
  </si>
  <si>
    <t>20 years from 2021-07-14 (file date)</t>
  </si>
  <si>
    <t>https://patentscout.innography.com/share/TlIz4CxFKYAJ7g6Wk5kr8w%3D%3D</t>
  </si>
  <si>
    <t>2022-05-10-DECISION TO GRANT OR REGISTRATION OF PATENT RIGHT|2022-05-11-WRITTEN DECISION TO GRANT</t>
  </si>
  <si>
    <t>https://patentscout.innography.com/share/TlIz4CxFKYAJ7g6Wk5kr8w%3D%3D/download</t>
  </si>
  <si>
    <t>https://v3.espacenet.com/publicationDetails/biblio?CC=KR&amp;NR=102398366B1&amp;KC=B1&amp;FT=D&amp;date=20220513&amp;DB=EPODOC&amp;locale=</t>
  </si>
  <si>
    <t>KR20102398366 B1</t>
  </si>
  <si>
    <t>1.  A user computing device holding cryptocurrency as a node of the blockchain network; A merchant computing device that provides products as a node of the blockchain network; a value evaluation server that evaluates the value of the AI art work generated by mining in the user computing device or the affiliated store computing device as a non-replaceable token; and providing an electronic wallet to each of the user computing device and the affiliated store computing device, and providing a wallet for transferring cryptocurrencies or non-fungible tokens between the electronic wallets when a product sale agreement is made between the user computing device and the affiliated store computing device Including a server, wherein the user computing device and the affiliated store computing device mine AI art works through mining in a group unit through grouping using one of a specific user computing device and the affiliated store computing device as a gateway, and the wallet providing server, Determines the grade according to the number of times of mining performed by the user computing device and the affiliated computing device belonging to the group, and divides the ownership stake in the mined AI art work according to the grade, and uses it for decoration of avatars and mining tools used for mining A system characterized in that it provides game points.</t>
  </si>
  <si>
    <t>KR20040027249 A | KR20100020846 A | KR20130107481 A | KR20150088378 A</t>
  </si>
  <si>
    <t>2021-11-09</t>
  </si>
  <si>
    <t>2041-11-09</t>
  </si>
  <si>
    <t>The present invention relates to a metaverse-based agricultural and fishery product cultivation system a user information input unit that inputs preset information of a user and creates an avatar using an application provided in a preset user terminal and a preset online space provided in a three-dimensional virtual world and offline farmhouses providing an online agricultural and marine product care activity space so that the matched online space becomes a space where the avatar is active and providing agricultural and marine product cultivation method data corresponding to the agricultural and marine products selected by the avatar to the user Department offline farmhouse information collection unit that collects the type of agricultural and marine products grown in the offline farmhouse water supply time water supply history current temperature temperature controller set temperature change history nutrient solution supply history total yield and total cultivation time the above Conversations with other avatars within the matched offline farmhouse preset virtual currency transactions the agricultural and fishery product care activities An avatar activity history management unit that collects the user avatar activity history information including at least one of agricultural and marine product transaction activities in an online agricultural and fishery shopping mall and the avatar activity history management unit receive the user&amp;#39;s access record and the avatar activity history information from the avatar activity history management unit and receive the avatar activity history information It characterized in that it comprises a manager operation unit for collecting the conversation history information and the cash conversion details of the virtual currency.</t>
  </si>
  <si>
    <t>Metaverse-based agricultural and fishery product cultivation system and mehod therfor</t>
  </si>
  <si>
    <t>Mr.papa Co., Ltd.</t>
  </si>
  <si>
    <t>MR.PAPA CO., LTD.</t>
  </si>
  <si>
    <t>KR20210153102A</t>
  </si>
  <si>
    <t>a user information input unit for inputting preset information of a user and generating an avatar using an application provided in a preset user terminal;Matches a preset online space provided in the 3D virtual world with an offline farmhouse, and provides an online agricultural and fishery product care activity space so that the matched online space becomes a space for the avatar to operate, and agricultural and marine products corresponding to the agricultural and marine products selected by the avatar a matching unit that provides cultivation method data to the user;Offline farmhouse information collection unit for collecting the type of agricultural and marine products grown in the offline farmhouse, water supply time, water supply history, current temperature, temperature controller set temperature change history, nutrient solution supply history, total yield and total cultivation time;Avatar activity history for collecting user avatar activity history information including at least one of a conversation with another avatar within the matched offline farmhouse, a preset virtual currency transaction, the agricultural and fishery product care activity, and an agricultural and marine product transaction activity in the online agricultural and fishery shopping mall Management; and a manager operation unit for receiving the user's access record and the avatar activity history information from the avatar activity history management unit, and collecting avatar conversation history information and cash conversion details of the virtual currency;Including, wherein the avatar activity history management unit divides the user's agricultural and marine products care activity into items of moisture supply control, temperature control, nutrition supply control and climate preparation, and the water of the agricultural and fishery products collected by the offline farmhouse information collection unit The activity details for at least one of the supply time, the water supply history, the set temperature change history, and the nutrient solution supply history are provided to the user, and the avatar activity history management unit provides the activity details for each item provided by the user. When performing at least one activity among the activity details for each item before or after a preset time range for the agricultural and fishery products based on Using the user's agricultural and fishery product care activity time, the total cultivation time collected by the offline farmhouse information collection unit, and a preset weight, the user's agricultural and marine products care activity time value (C) is calculated according to the following [Equation 1], [Mathematics Equation 1] (Where C is the user's agricultural and fishery product care activity time value, Ct onis the user's agricultural and fishery product care activity time, Ct offis the total cultivation time, α is the activity weight) The user's agricultural and fishery product care activity time value (C) isc), and [Table 3] The substituted value (Cc) to reflect the user's harvest share (UH) is calculated according to the following [Equation 2], [Equation 2] (where Ptis the total yield, β is the weight, and p is the penalty score) The calculated user's harvest share (UH) to the user's account as data, a metaverse-based agricultural and fishery product cultivation system, characterized in that it is provided first.</t>
  </si>
  <si>
    <t>a user information input unit for inputting preset information of a user and generating an avatar using an application provided in a preset user terminal;Matches a preset online space provided in the 3D virtual world with an offline farmhouse, and provides an online agricultural and fishery product care activity space so that the matched online space becomes a space for the avatar to operate, and agricultural and marine products corresponding to the agricultural and marine products selected by the avatar a matching unit that provides cultivation method data to the user;Offline farmhouse information collection unit for collecting the type of agricultural and marine products grown in the offline farmhouse, water supply time, water supply history, current temperature, temperature controller set temperature change history, nutrient solution supply history, total yield and total cultivation time;Avatar activity history for collecting user avatar activity history information including at least one of a conversation with another avatar within the matched offline farmhouse, a preset virtual currency transaction, the agricultural and fishery product care activity, and an agricultural and marine product transaction activity in the online agricultural and fishery shopping mall Management; and a manager operation unit for receiving the user's access record and the avatar activity history information from the avatar activity history management unit, and collecting avatar conversation history information and cash conversion details of the virtual currency;Including, wherein the avatar activity history management unit divides the user's agricultural and marine products care activity into items of moisture supply control, temperature control, nutrition supply control and climate preparation, and the water of the agricultural and fishery products collected by the offline farmhouse information collection unit The activity details for at least one of the supply time, the water supply history, the set temperature change history, and the nutrient solution supply history are provided to the user, and the avatar activity history management unit provides the activity details for each item provided by the user. When performing at least one activity among the activity details for each item before or after a preset time range for the agricultural and fishery products based on Using the user's agricultural and fishery product care activity time, the total cultivation time collected by the offline farmhouse information collection unit, and a preset weight, the user's agricultural and marine products care activity time value (C) is calculated according to the following [Equation 1], [Mathematics Equation 1] (Where C is the user's agricultural and fishery product care activity time value, Ct onis the user's agricultural and fishery product care activity time, Ct offis the total cultivation time, α is the activity weight) The user's agricultural and fishery product care activity time value (C) isc), and [Table 3] The substituted value (Cc) to reflect the user's harvest share (UH) is calculated according to the following [Equation 2], [Equation 2] (where Ptis the total yield, β is the weight, and p is the penalty score) The calculated user's harvest share (UH) to the user's account as data, a metaverse-based agricultural and fishery product cultivation system, characterized in that it is provided first.
The method according to claim 1, wherein the matching unit provides step-by-step data on the cultivation method corresponding to the growth stage of the agricultural and marine products selected by the avatar in which the offline farmhouse and the online space are matched, but according to the weather change of the offline farmhouse at every preset time. Metaverse-based agricultural and fishery product cultivation system, characterized in that the corresponding updated cultivation method data is provided to the user.
delete
According to claim 1, wherein the harvest share of the user is provided in the form of data to the user account, the actual agricultural and marine products cultivated by the user to the user's actual residence or an avatar of another user in a shopping mall provided in the application It is provided so that it can be exchanged for agricultural and fishery products owned by or traded with virtual currency used in the application, and the remaining shelf life in response to the time calculated from the time when the agricultural and marine products harvested by the user in the application are provided in the form of the data. A metaverse-based agricultural and marine product cultivation system, characterized in that the calculated remaining shelf life is converted into the residual value of the agricultural and marine products and displayed as a numerical value.
The method according to claim 1, wherein the manager operation unit collects behavior details in response to the access time of the user avatar, and separates the time of the agricultural and fishery product care activity, the simple access time, and the shopping mall use time of the avatar. Metaverse-based agricultural and fishery product cultivation system.</t>
  </si>
  <si>
    <t>Seo, June Youl</t>
  </si>
  <si>
    <t>G06Q0050020000</t>
  </si>
  <si>
    <t>G06Q05002000</t>
  </si>
  <si>
    <t>G06Q05002000 | A01G00700000 | G06Q02006000 | G06Q03006000 | G06Q05010000 | G06Q05030000 | G06T01340000 | G06T01900000</t>
  </si>
  <si>
    <t>047009000</t>
  </si>
  <si>
    <t>KR102407750B1</t>
  </si>
  <si>
    <t>KR102407750 B1</t>
  </si>
  <si>
    <t>I-000226810907</t>
  </si>
  <si>
    <t>20 years from 2021-11-09 (file date)</t>
  </si>
  <si>
    <t>https://patentscout.innography.com/share/beBOX8RiQDxYYfvMptoKvg%3D%3D</t>
  </si>
  <si>
    <t>2022-05-23-DECISION TO GRANT OR REGISTRATION OF PATENT RIGHT|2022-06-07-WRITTEN DECISION TO GRANT</t>
  </si>
  <si>
    <t>https://patentscout.innography.com/share/beBOX8RiQDxYYfvMptoKvg%3D%3D/download</t>
  </si>
  <si>
    <t>https://v3.espacenet.com/publicationDetails/biblio?CC=KR&amp;NR=102407750B1&amp;KC=B1&amp;FT=D&amp;date=20220613&amp;DB=EPODOC&amp;locale=</t>
  </si>
  <si>
    <t>KR20102407750 B1</t>
  </si>
  <si>
    <t>1.  a user information input unit for inputting preset information of a user and generating an avatar using an application provided in a preset user terminal;Matches a preset online space provided in the 3D virtual world with an offline farmhouse, and provides an online agricultural and fishery product care activity space so that the matched online space becomes a space for the avatar to operate, and agricultural and marine products corresponding to the agricultural and marine products selected by the avatar a matching unit that provides cultivation method data to the user;Offline farmhouse information collection unit for collecting the type of agricultural and marine products grown in the offline farmhouse, water supply time, water supply history, current temperature, temperature controller set temperature change history, nutrient solution supply history, total yield and total cultivation time;Avatar activity history for collecting user avatar activity history information including at least one of a conversation with another avatar within the matched offline farmhouse, a preset virtual currency transaction, the agricultural and fishery product care activity, and an agricultural and marine product transaction activity in the online agricultural and fishery shopping mall Management; and a manager operation unit for receiving the user's access record and the avatar activity history information from the avatar activity history management unit, and collecting avatar conversation history information and cash conversion details of the virtual currency;Including, wherein the avatar activity history management unit divides the user's agricultural and marine products care activity into items of moisture supply control, temperature control, nutrition supply control and climate preparation, and the water of the agricultural and fishery products collected by the offline farmhouse information collection unit The activity details for at least one of the supply time, the water supply history, the set temperature change history, and the nutrient solution supply history are provided to the user, and the avatar activity history management unit provides the activity details for each item provided by the user. When performing at least one activity among the activity details for each item before or after a preset time range for the agricultural and fishery products based on Using the user's agricultural and fishery product care activity time, the total cultivation time collected by the offline farmhouse information collection unit, and a preset weight, the user's agricultural and marine products care activity time value (C) is calculated according to the following [Equation 1 ], [Mathematics Equation 1 ] (Where C is the user's agricultural and fishery product care activity time value, Ct onis the user's agricultural and fishery product care activity time, Ct offis the total cultivation time, α is the activity weight) The user's agricultural and fishery product care activity time value (C) isc), and [Table 3 ] The substituted value (Cc) to reflect the user's harvest share (UH) is calculated according to the following [Equation 2 ], [Equation 2 ] (where Ptis the total yield, β is the weight, and p is the penalty score) The calculated user's harvest share (UH) to the user's account as data, a metaverse-based agricultural and fishery product cultivation system, characterized in that it is provided first.</t>
  </si>
  <si>
    <t>2022-09-02</t>
  </si>
  <si>
    <t>2021-02-26</t>
  </si>
  <si>
    <t>2041-02-26</t>
  </si>
  <si>
    <t>A cloud-based metaverse content collaboration system is disclosed. The cloud-based metaverse content collaboration system includes a behavior recognition algorithm that can analyze the structural characteristics of a person when recognizing a user&amp;#39;s motion and recognize and remember motion actions accordingly.</t>
  </si>
  <si>
    <t>Cloud-based metaverse content collaboration system</t>
  </si>
  <si>
    <t>Yatav</t>
  </si>
  <si>
    <t>YATAV</t>
  </si>
  <si>
    <t>KR20210026868A</t>
  </si>
  <si>
    <t>A cloud-based metaverse content collaboration system that includes a behavior recognition algorithm that can analyze the structural characteristics of a person when recognizing a user's motion, and recognize and remember motion actions accordingly.</t>
  </si>
  <si>
    <t>A cloud-based metaverse content collaboration system that includes a behavior recognition algorithm that can analyze the structural characteristics of a person when recognizing a user's motion, and recognize and remember motion actions accordingly.
The cloud-based metaverse content collaboration system according to claim 1, wherein the part about displacements of the human spine, upper body, and lower body is processed through attention and managed through an attention mechanism to predict the output of the corresponding value.
The cloud-based metaverse content according to claim 1, which includes a Complex Gesture GAN algorithm that can discriminate a user's meaningful gesture based on the data learned in the previous step, track a physical object, and then distinguish it. collaboration system.</t>
  </si>
  <si>
    <t>Lee, Jun|Cho, Eun Sang|Lee, Seong Chan</t>
  </si>
  <si>
    <t>G06V0040100000</t>
  </si>
  <si>
    <t>G06V0040100000 | G06N0003080000</t>
  </si>
  <si>
    <t>G06K00900000</t>
  </si>
  <si>
    <t>G06K00900000 | G06N00308000</t>
  </si>
  <si>
    <t>KR20220122349A</t>
  </si>
  <si>
    <t>KR20220122349 A</t>
  </si>
  <si>
    <t>I-000230099160</t>
  </si>
  <si>
    <t>20 years from 2021-02-26 (file date)</t>
  </si>
  <si>
    <t>https://patentscout.innography.com/share/qsN1lVHTiwp-yfeMIwtkEw%3D%3D</t>
  </si>
  <si>
    <t>2022-10-19-REQUEST FOR EXAMINATION</t>
  </si>
  <si>
    <t>https://patentscout.innography.com/share/qsN1lVHTiwp-yfeMIwtkEw%3D%3D/download</t>
  </si>
  <si>
    <t>https://v3.espacenet.com/publicationDetails/biblio?CC=KR&amp;NR=20220122349A&amp;KC=A&amp;FT=D&amp;date=20220902&amp;DB=EPODOC&amp;locale=</t>
  </si>
  <si>
    <t>1.  A cloud-based metaverse content collaboration system that includes a behavior recognition algorithm that can analyze the structural characteristics of a person when recognizing a user's motion, and recognize and remember motion actions accordingly.</t>
  </si>
  <si>
    <t>KR101934672 B1 | KR20120003588 A | KR20140036555 A | KR20190002135 A | KR20210031333 A | KR20210066046 A</t>
  </si>
  <si>
    <t>2022-10-05</t>
  </si>
  <si>
    <t>The present invention is a service that informs the correct exercise method provides feedback and provides fun and motivation so that a user who wants to exercise alone such as home training can exercise consistently in the correct way but is configured to use the metaverse technology in that way It&amp;#39;s about the system. The self-training service system using the metaverse according to the present invention creates a virtual online space and character and provides a graphic screen and provides an exercise method performed using an exercise device and an exercise method performed with bare hands A management server that provides feedback by analyzing the user&amp;#39;s exercise motion by method and a virtual online space and character display through the screen so that the user can select a movement and exercise method in the virtual online space by controlling the character A user terminal that implements the selected exercise method in a way that the character exercises and provides it to the user captures the user&amp;#39;s exercise motion according to the provided exercise method and transmits it to the management server and provides feedback transmitted from the management server to the user It is characterized in that it comprises a.</t>
  </si>
  <si>
    <t>Self training service system using metaverse</t>
  </si>
  <si>
    <t>Lee, Young Kyu</t>
  </si>
  <si>
    <t>KR20210149584A</t>
  </si>
  <si>
    <t>Creates a virtual online space and character and provides it as a graphic screen, provides an exercise method performed using exercise equipment and an exercise method performed with bare hands, and provides feedback by analyzing the user's exercise motion by the provided exercise method a management server 100; and displaying the virtual online space and character through the screen, allowing the user to select a movement and exercise method in the virtual online space by manipulating the character, and implementing the selected exercise method in a way that the character exercises to the user a user terminal 200 for providing, photographing a user's exercise motion according to the provided exercise method, transmitting the image to the management server 100, and providing feedback transmitted from the management server 100 to the user; It is characterized in that it is configured to include, but the management server 100 can create a virtual online space and provide it as a graphic screen, and based on user input and real-time photographed and uploaded user's face photo A character with the same or similar appearance can be created and provided as a graphic screen, and the overall or part-specific shape of the character is changed or maintained by reflecting the amount of exercise and calorie consumption for each body part measured for a certain period of time, but the amount of exercise a graphic generating unit 110 that restores the changed shape of the whole or each part of the character to its original state when it is reduced;In connection with the graphic generating unit 110, the exercise method and the movement movement of the character are provided along with explanations, and the user's movement and feedback for correcting the user's movement movement based on the analyzed movement movement and amount of movement of the user are provided. an information providing unit 120 that generates and provides feedback for limiting; And, based on the user's exercise image transmitted from the user terminal 200, the user's exercise motion is analyzed, the amount of exercise for each body part of the user is measured by the analysis, and the generation of excessive exercise amount for each part is analyzed. part 130; Characterized in that it is configured to include, the user terminal 200, when the movement for the same part continues to occur even after the feedback for limiting the user's movement is provided to the user, the output of an alarm sound or a guide message Self-training service system using the metaverse, characterized in that configured to automatically end the shooting together with.</t>
  </si>
  <si>
    <t>Creates a virtual online space and character and provides it as a graphic screen, provides an exercise method performed using exercise equipment and an exercise method performed with bare hands, and provides feedback by analyzing the user's exercise motion by the provided exercise method a management server 100; and displaying the virtual online space and character through the screen, allowing the user to select a movement and exercise method in the virtual online space by manipulating the character, and implementing the selected exercise method in a way that the character exercises to the user a user terminal 200 for providing, photographing a user's exercise motion according to the provided exercise method, transmitting the image to the management server 100, and providing feedback transmitted from the management server 100 to the user; It is characterized in that it is configured to include, but the management server 100 can create a virtual online space and provide it as a graphic screen, and based on user input and real-time photographed and uploaded user's face photo A character with the same or similar appearance can be created and provided as a graphic screen, and the overall or part-specific shape of the character is changed or maintained by reflecting the amount of exercise and calorie consumption for each body part measured for a certain period of time, but the amount of exercise a graphic generating unit 110 that restores the changed shape of the whole or each part of the character to its original state when it is reduced;In connection with the graphic generating unit 110, the exercise method and the movement movement of the character are provided along with explanations, and the user's movement and feedback for correcting the user's movement movement based on the analyzed movement movement and amount of movement of the user are provided. an information providing unit 120 that generates and provides feedback for limiting; And, based on the user's exercise image transmitted from the user terminal 200, the user's exercise motion is analyzed, the amount of exercise for each body part of the user is measured by the analysis, and the generation of excessive exercise amount for each part is analyzed. part 130; Characterized in that it is configured to include, the user terminal 200, when the movement for the same part continues to occur even after the feedback for limiting the user's movement is provided to the user, the output of an alarm sound or a guide message Self-training service system using the metaverse, characterized in that configured to automatically end the shooting together with.
delete
The method according to claim 1, wherein the user terminal 200 is configured to calculate and provide calorie consumption based on the number of steps of the user measured during the day, and the management server 100, the user terminal 200 It is configured to further include a compensation payment unit 140 that checks the number of steps of the user measured through and the execution of the exercise by the user every day and pays a reward in points according to the achievement of a preset condition, and the points paid to the user is a self-training service system using metaverse, characterized in that it can be used for the use of various affiliated online sales services, various offline sales services, and other services including beauty and treatment.
The method according to claim 1, wherein the user terminal 200 is set to automatically play music when shooting a user's exercise motion, and is set to automatically pause the played music when a guide or feedback is provided to the user,, A self-training service system using a metaverse, characterized in that when a predetermined specific motion is detected, the music is stopped or the music whose playback has been stopped is set to be played again.</t>
  </si>
  <si>
    <t>A63B0071060000</t>
  </si>
  <si>
    <t>A63B07106000</t>
  </si>
  <si>
    <t>A63B07106000 | A63B02400000 | G01C02200000 | G06Q03002000 | G06Q05010000 | G06T01340000 | G06T01900000</t>
  </si>
  <si>
    <t>040598000</t>
  </si>
  <si>
    <t>KR102450736B1</t>
  </si>
  <si>
    <t>KR102450736 B1</t>
  </si>
  <si>
    <t>I-000231193675</t>
  </si>
  <si>
    <t>https://patentscout.innography.com/share/tsGagmD9uUaJMXD1qr95_Q%3D%3D</t>
  </si>
  <si>
    <t>2022-09-27-DECISION TO GRANT OR REGISTRATION OF PATENT RIGHT|2022-09-29-WRITTEN DECISION TO GRANT</t>
  </si>
  <si>
    <t>https://patentscout.innography.com/share/tsGagmD9uUaJMXD1qr95_Q%3D%3D/download</t>
  </si>
  <si>
    <t>https://v3.espacenet.com/publicationDetails/biblio?CC=KR&amp;NR=102450736B1&amp;KC=B1&amp;FT=D&amp;date=20221005&amp;DB=EPODOC&amp;locale=</t>
  </si>
  <si>
    <t>KR20102450736 B1</t>
  </si>
  <si>
    <t>1.  Creates a virtual online space and character and provides it as a graphic screen, provides an exercise method performed using exercise equipment and an exercise method performed with bare hands, and provides feedback by analyzing the user's exercise motion by the provided exercise method a management server 100 ; and displaying the virtual online space and character through the screen, allowing the user to select a movement and exercise method in the virtual online space by manipulating the character, and implementing the selected exercise method in a way that the character exercises to the user a user terminal 200 for providing, photographing a user's exercise motion according to the provided exercise method, transmitting the image to the management server 100 , and providing feedback transmitted from the management server 100 to the user; It is characterized in that it is configured to include, but the management server 100 can create a virtual online space and provide it as a graphic screen, and based on user input and real-time photographed and uploaded user's face photo A character with the same or similar appearance can be created and provided as a graphic screen, and the overall or part-specific shape of the character is changed or maintained by reflecting the amount of exercise and calorie consumption for each body part measured for a certain period of time, but the amount of exercise a graphic generating unit 110 that restores the changed shape of the whole or each part of the character to its original state when it is reduced;In connection with the graphic generating unit 110 , the exercise method and the movement movement of the character are provided along with explanations, and the user's movement and feedback for correcting the user's movement movement based on the analyzed movement movement and amount of movement of the user are provided. an information providing unit 120 that generates and provides feedback for limiting; And, based on the user's exercise image transmitted from the user terminal 200 , the user's exercise motion is analyzed, the amount of exercise for each body part of the user is measured by the analysis, and the generation of excessive exercise amount for each part is analyzed. part 130 ; Characterized in that it is configured to include, the user terminal 200 , when the movement for the same part continues to occur even after the feedback for limiting the user's movement is provided to the user, the output of an alarm sound or a guide message Self-training service system using the metaverse, characterized in that configured to automatically end the shooting together with.</t>
  </si>
  <si>
    <t>KR102388442 B1 | KR102398366 B1 | KR102423080 B1 | KR102433844 B1 | KR102432524 B1</t>
  </si>
  <si>
    <t>2021-06-01</t>
  </si>
  <si>
    <t>2021-05-12</t>
  </si>
  <si>
    <t>2041-05-12</t>
  </si>
  <si>
    <t>In the Metaverse platform by linking online and offline exhibition experiences which are block chain-based exhibition experience solution technologies interactive data sharing of exhibition experience spaces and exhibition experience solutions through networks are provided to users. In this metaverse platform the block chain-based exhibition experience solution can solve the inconvenience of offline spatial temporal age and gender for users and the experiencer acquires and sells their own items to create an ecosystem in the network space. features that are created.</t>
  </si>
  <si>
    <t>Blockchain-based exhibition experience solution on metaverse platform</t>
  </si>
  <si>
    <t>Kim, Kwon Tae</t>
  </si>
  <si>
    <t>KR20210061674A</t>
  </si>
  <si>
    <t>The exhibition experience solution in the metaverse platform applies the encryption technology of the block chain to have safe scalability and build an on-line and offline exhibition experience solution.</t>
  </si>
  <si>
    <t>The exhibition experience solution in the metaverse platform applies the encryption technology of the block chain to have safe scalability and build an on-line and offline exhibition experience solution.
According to claim 1, wherein the platform is a space for communication within the Metaverse platform, and creates a roblox space through ZEPETO, and builds an ecosystem in a network space of communication, from education, culture, travel, games, exhibition experience, and entertainment. have scalability</t>
  </si>
  <si>
    <t>G06Q0050100000 | H04L0009064300 | H04L0009500000</t>
  </si>
  <si>
    <t>G06Q05010000 | H04L00906000</t>
  </si>
  <si>
    <t>KR20210063284A</t>
  </si>
  <si>
    <t>I-000211739831</t>
  </si>
  <si>
    <t>20 years from 2021-05-12 (file date)</t>
  </si>
  <si>
    <t>https://patentscout.innography.com/share/-f1htaTQbLC2aH9L0RyFNQ%3D%3D</t>
  </si>
  <si>
    <t>https://patentscout.innography.com/share/-f1htaTQbLC2aH9L0RyFNQ%3D%3D/download</t>
  </si>
  <si>
    <t>https://v3.espacenet.com/publicationDetails/biblio?CC=KR&amp;NR=20210063284A&amp;KC=A&amp;FT=D&amp;date=20210601&amp;DB=EPODOC&amp;locale=</t>
  </si>
  <si>
    <t>区块链</t>
  </si>
  <si>
    <t>blockchain.2022.4.6</t>
  </si>
  <si>
    <t>2022-04-06</t>
  </si>
  <si>
    <t>1.  The exhibition experience solution in the metaverse platform applies the encryption technology of the block chain to have safe scalability and build an on-line and offline exhibition experience solution.</t>
  </si>
  <si>
    <t>The present invention relates to a metaverse fairground which lowers the risk of the spread of COVID-19 through online fairs revitalizes the import and export economy through domestic and foreign marketing of participating companies and is easier and safer than offline fairs such as cheaper booth rental costs than offline fairs The purpose of the fair is to proceed. In other words in this metaverse exhibition hall the basic space of the exhibition hall the basic virtual booth (3X3) which divides the user inside the exhibition hall so that the user can use the personal space of the basic space and a virtual booth inside the exhibition hall A video banner that can play related videos by installing a virtual banner in the booth a video banner that can play related videos by attaching it to the wall of the virtual booth inside the exhibition hall and the website of the exhibitor inside the virtual booth among the inside of the exhibition hall QR code connected to the  a virtual exhibition stand where users of virtual booths can display items they want to sell in the exhibition hall and an exhibition application website where applicants outside the exhibition hall can apply for participation in the exhibition will be. Therefore it has the effect of lowering the risk of the spread of COVID-19 by conducting the online fair activating the export-import economy through domestic and overseas marketing of participating companies and making it easier and safer than the offline fair such as the cost of renting a booth that is cheaper than the offline fair. will be.</t>
  </si>
  <si>
    <t>Metaverse exhibition hall _ meh</t>
  </si>
  <si>
    <t>exhibition hall|exhibition|booth|exposition</t>
  </si>
  <si>
    <t>Yu, Chang Hun</t>
  </si>
  <si>
    <t>KR20210172318A</t>
  </si>
  <si>
    <t>In the metaverse exposition site, the exposition hall, which is the basic space of the exposition, the basic virtual booth (3X3) that distributes the personal space of the basic space to the users inside the exposition site, and the virtual booth as an element of the virtual booth inside the exposition hall A video banner that can play related videos by installing a banner ofA video banner, a QR code that connects to the website of a participating company inside the virtual booth inside the fairground, a virtual exhibition stand where users of the virtual booth can display the items they want to sell, and the applicant outside the fairground Metaverse Exhibition Hall, characterized in that it consists of an exhibition application website where you can apply for participation in the exhibition.</t>
  </si>
  <si>
    <t>G06Q0050100000 | G06K0019060370 | G06T0019006000</t>
  </si>
  <si>
    <t>G06Q05010000 | G06K01906000 | G06T01900000</t>
  </si>
  <si>
    <t>KR20210154914A</t>
  </si>
  <si>
    <t>KR20210154914 A</t>
  </si>
  <si>
    <t>I-000219853691</t>
  </si>
  <si>
    <t>https://patentscout.innography.com/share/4m4Q7IQ6UbUrw5X_zhI_0w%3D%3D</t>
  </si>
  <si>
    <t>https://patentscout.innography.com/share/4m4Q7IQ6UbUrw5X_zhI_0w%3D%3D/download</t>
  </si>
  <si>
    <t>https://v3.espacenet.com/publicationDetails/biblio?CC=KR&amp;NR=20210154914A&amp;KC=A&amp;FT=D&amp;date=20211221&amp;DB=EPODOC&amp;locale=</t>
  </si>
  <si>
    <t>1.  In the metaverse exposition site, the exposition hall, which is the basic space of the exposition, the basic virtual booth (3X3 ) that distributes the personal space of the basic space to the users inside the exposition site, and the virtual booth as an element of the virtual booth inside the exposition hall A video banner that can play related videos by installing a banner ofA video banner, a QR code that connects to the website of a participating company inside the virtual booth inside the fairground, a virtual exhibition stand where users of the virtual booth can display the items they want to sell, and the applicant outside the fairground Metaverse Exhibition Hall, characterized in that it consists of an exhibition application website where you can apply for participation in the exhibition.</t>
  </si>
  <si>
    <t>KR20040046006 A | KR20190015141 A</t>
  </si>
  <si>
    <t>2021-05-20</t>
  </si>
  <si>
    <t>2041-05-20</t>
  </si>
  <si>
    <t>The present invention is a multi-product small quantity production system equipped with a metaverse server. When a manufacturer displays a sample of potential demand an avatar and a realistic space on the metaverse server a potential customer selects a product sample from the metaverse space and uses the avatar. The goal is to reduce the error in demand forecasting by experiencing the experience in a realistic space and evaluating and recording the results of the experience. The manufacturer collects and analyzes the customer&amp;#39;s experience evaluation record to design the product predict demand and manufacture the product.</t>
  </si>
  <si>
    <t>Multi-kind small quantity production system equipped with metaverse server</t>
  </si>
  <si>
    <t>Kim, Kyung Hyo</t>
  </si>
  <si>
    <t>KR20210064507A</t>
  </si>
  <si>
    <t>A metabus server prepared for small quantity production of various kinds;A customer who accesses the server using a smartphone or computer terminal, transmits image information, and experiences reality using a VR device;a sample unit provided in the server and displaying product samples;an avatar unit provided in the server and displaying an avatar;a sensory experience unit configured in the server to supply a sensory field;a manufacturing unit configured in the server to manufacture products;It is configured in the server, and when a customer accesses the server, the metaverse system for multi-variety small quantity production, characterized in that composed of an interface unit for collecting customer information and transmitting usage information.</t>
  </si>
  <si>
    <t>A metabus server prepared for small quantity production of various kinds;A customer who accesses the server using a smartphone or computer terminal, transmits image information, and experiences reality using a VR device;a sample unit provided in the server and displaying product samples;an avatar unit provided in the server and displaying an avatar;a sensory experience unit configured in the server to supply a sensory field;a manufacturing unit configured in the server to manufacture products;It is configured in the server, and when a customer accesses the server, the metaverse system for multi-variety small quantity production, characterized in that composed of an interface unit for collecting customer information and transmitting usage information.
a customer experience analysis unit configured in the server to collect, analyze, and cherry customer evaluations of the sample unit and sensory experience evaluations of the sensory experience unit of the server; a demand forecasting unit that predicts product planning and demand based on the analyzed results;A multi-product small quantity production system equipped with a meter bus server composed of a manufacturing department that manufactures products based on such demand forecasting</t>
  </si>
  <si>
    <t>G06Q0050040000</t>
  </si>
  <si>
    <t>G06Q0050040000 | G06Q0010040000 | G06T0013400000 | Y02P0090300000</t>
  </si>
  <si>
    <t>G06Q05004000</t>
  </si>
  <si>
    <t>G06Q05004000 | G06Q01004000 | G06T01340000</t>
  </si>
  <si>
    <t>KR20220157013A</t>
  </si>
  <si>
    <t>KR20220157013 A</t>
  </si>
  <si>
    <t>I-000233023872</t>
  </si>
  <si>
    <t>20 years from 2021-05-20 (file date)</t>
  </si>
  <si>
    <t>https://patentscout.innography.com/share/RmZY_ndaohj3-RsyFLBeMg%3D%3D</t>
  </si>
  <si>
    <t>https://patentscout.innography.com/share/RmZY_ndaohj3-RsyFLBeMg%3D%3D/download</t>
  </si>
  <si>
    <t>https://v3.espacenet.com/publicationDetails/biblio?CC=KR&amp;NR=20220157013A&amp;KC=A&amp;FT=D&amp;date=20221129&amp;DB=EPODOC&amp;locale=</t>
  </si>
  <si>
    <t>1.  A metabus server prepared for small quantity production of various kinds;A customer who accesses the server using a smartphone or computer terminal, transmits image information, and experiences reality using a VR device;a sample unit provided in the server and displaying product samples;an avatar unit provided in the server and displaying an avatar;a sensory experience unit configured in the server to supply a sensory field;a manufacturing unit configured in the server to manufacture products;It is configured in the server, and when a customer accesses the server, the metaverse system for multi-variety small quantity production, characterized in that composed of an interface unit for collecting customer information and transmitting usage information.</t>
  </si>
  <si>
    <t>2.  a customer experience analysis unit configured in the server to collect, analyze, and cherry customer evaluations of the sample unit and sensory experience evaluations of the sensory experience unit of the server; a demand forecasting unit that predicts product planning and demand based on the analyzed results;A multi-product small quantity production system equipped with a meter bus server composed of a manufacturing department that manufactures products based on such demand forecasting</t>
  </si>
  <si>
    <t>2022-11-08</t>
  </si>
  <si>
    <t>2021-04-30</t>
  </si>
  <si>
    <t>2041-04-30</t>
  </si>
  <si>
    <t>A method for providing a metaverse-based e-commerce platform according to an embodiment of the present invention the method comprising: registering an exhibition; viewing and selecting exhibitions; inquiry and selection of booths; purchasing goods; and inquiring the purchase history; may include</t>
  </si>
  <si>
    <t>Metaverse-based e-commerce platform providing method and device therefor</t>
  </si>
  <si>
    <t>Kang, Hye Jin</t>
  </si>
  <si>
    <t>KR20210056583A</t>
  </si>
  <si>
    <t>A method for providing a metaverse-based e-commerce platform, the method comprising: registering an exhibition;viewing and selecting exhibitions;inquiry and selection of booths;purchasing goods; and inquiring the purchase history; A method of providing a metaverse-based e-commerce platform, including.</t>
  </si>
  <si>
    <t>G06Q0030061300</t>
  </si>
  <si>
    <t>G06Q0030061300 | G06Q0030064300 | G06T0019000000</t>
  </si>
  <si>
    <t>G06Q03006000 | G06T01900000</t>
  </si>
  <si>
    <t>KR20220149232A</t>
  </si>
  <si>
    <t>KR20220149232 A</t>
  </si>
  <si>
    <t>I-000232494327</t>
  </si>
  <si>
    <t>20 years from 2021-04-30 (file date)</t>
  </si>
  <si>
    <t>https://patentscout.innography.com/share/ScROIAXRM7gK_iVVtlHdBw%3D%3D</t>
  </si>
  <si>
    <t>https://patentscout.innography.com/share/ScROIAXRM7gK_iVVtlHdBw%3D%3D/download</t>
  </si>
  <si>
    <t>https://v3.espacenet.com/publicationDetails/biblio?CC=KR&amp;NR=20220149232A&amp;KC=A&amp;FT=D&amp;date=20221108&amp;DB=EPODOC&amp;locale=</t>
  </si>
  <si>
    <t>1.  A method for providing a metaverse-based e-commerce platform, the method comprising: registering an exhibition;viewing and selecting exhibitions;inquiry and selection of booths;purchasing goods; and inquiring the purchase history; A method of providing a metaverse-based e-commerce platform, including.</t>
  </si>
  <si>
    <t>JP2020502709 A | KR102050799 B1 | KR102122565 B1 | KR102336156 B1 | KR20170081272 A | KR20190079441 A | KR20200001237 A</t>
  </si>
  <si>
    <t>2022-05-04</t>
  </si>
  <si>
    <t>2042-05-04</t>
  </si>
  <si>
    <t>The present invention relates to a method of providing an ultra-high-resolution media object and an apparatus supporting the same. The present invention also relates to a metaverse-based cross-platform service system that provides gigapixel media object viewing and trading.</t>
  </si>
  <si>
    <t>Metaverse based cross platfrorm service system providing appreciation and trade gigapixel media object</t>
  </si>
  <si>
    <t>M.funch Co., Ltd.</t>
  </si>
  <si>
    <t>M.FUNCH CO., LTD.</t>
  </si>
  <si>
    <t>KR20220055295A</t>
  </si>
  <si>
    <t>An electronic device comprising: a memory; and a processor coupled to the memory. A method comprising:receiving media object request information from a service user, and providing one or more media objects corresponding to the media object request information among a plurality of media objects registered to be provided by the electronic device to the service user performing an operation related to, each of the plurality of media objects:acquiring a plurality of first images in which at least a portion of the specific object is captured in each of a plurality of regions obtained by segmentation of a specific object into a predetermined first size; obtaining a raw media object for the specific object by merging the plurality of first images; and obtaining one media object for the specific object based on the preprocessing of the raw media object. (i) for each of the plurality of media objects, a non-fungible token (NFT) is issued by the electronic device for proof of one or more of ownership or copyright of each media object, or (ii) an owner of each media object is identified among the plurality of service users based on a plurality of identifiers assigned to a plurality of service users including the service user, and one or more NFTs corresponding to the one or more media objects or if the one or more media objects are identified as owned by the service user based on the plurality of identifiers: The one or more media objects are displayed in a first virtual space based on the metaverse of the service user and provided to the service user, and the one or more NFTs or the plurality of media objects corresponding to the one or more media objects. If the one or more media objects are identified as not owned by the service user based on the identifiers of, and the media object request information is received in response to one or more of an invitation message or a shared message of another service user: (a) the service user is granted access to a metaverse-based second virtual space of the other service user, and (b) the one or more media objects are displayed in the second virtual space to display the service user provided to, wherein the first virtual space is modeled based on geographic information of the service user obtained based on the location information of the service user, and the second virtual space is based on location information of the other service user. is modeled on the basis of geographic information of the other service user obtained by a movement is controlled to correspond to the movement, and it is identified that the avatar approaches a specific one of the one or more media objects in the first virtual space or the second virtual space; When the recognition range in the first virtual space or the second virtual space between the avatar and the specific media is less than or equal to a preset threshold: information related to the specific media object is displayed, and the avatar approaches the specific media object is identified based on a recognition range of the avatar identified from a traveling direction of the avatar and a recognition range within the first virtual space or the second virtual space between the avatar and each of the one or more media objects, the Based on one or more NFTs or the plurality of identifiers corresponding to one or more media objects, the one or more media objects are identified as not owned by the service user, or the media object request information is an invitation message or sharing of another service user. When received in response to one or more of the messages: The information related to the specific media object displayed in the second virtual space transmits a transaction request for at least one of an NFT issued for the specific media object or an object corresponding to the specific media object to the other service user. wherein at least one of an invitation message or a shared message of the other service user is used to: a first identifier used to identify the service user and a second identifier used to identify the other service user; Including: - When the media object request information is a response to one or more of an invitation message or a shared message of the other service user: (1) the media object request information includes a third identifier used to identify the service user and a fourth identifier used to identify the other service user, and (2) the first identifier and the third identifier are and if the second identifier and the fourth identifier match, the service user is granted access to the second virtual space, and the one or more media objects are provided to the service user in the second virtual space;, (3) if one or more of the first identifier and the third identifier do not match or the second identifier and the fourth identifier do not match are satisfied, the access right to the second virtual space is the service not granted to the user and the one or more media objects are not provided to the service user within the second virtual space; - when the media object request information is not a response to one or more of the invitation message or the shared message of the other service user: the media object request information includes the third identifier and a first used to identify the other service user 4 Does not include an identifier, the third identifier is used to identify whether the service user is a subscriber of a service operated by the electronic device, and the preprocessing for the raw media object includes: converting the raw media object to a predetermined second size obtaining a plurality of second images by dividing by; calibrating each of the plurality of second images to a high-resolution image while enlarging each of the plurality of second images; and merging the corrected plurality of second images to obtain the one media object. comprising, an electronic device.</t>
  </si>
  <si>
    <t>An electronic device comprising: a memory; and a processor coupled to the memory. A method comprising:receiving media object request information from a service user, and providing one or more media objects corresponding to the media object request information among a plurality of media objects registered to be provided by the electronic device to the service user performing an operation related to, each of the plurality of media objects:acquiring a plurality of first images in which at least a portion of the specific object is captured in each of a plurality of regions obtained by segmentation of a specific object into a predetermined first size; obtaining a raw media object for the specific object by merging the plurality of first images; and obtaining one media object for the specific object based on the preprocessing of the raw media object. (i) for each of the plurality of media objects, a non-fungible token (NFT) is issued by the electronic device for proof of one or more of ownership or copyright of each media object, or (ii) an owner of each media object is identified among the plurality of service users based on a plurality of identifiers assigned to a plurality of service users including the service user, and one or more NFTs corresponding to the one or more media objects or if the one or more media objects are identified as owned by the service user based on the plurality of identifiers: The one or more media objects are displayed in a first virtual space based on the metaverse of the service user and provided to the service user, and the one or more NFTs or the plurality of media objects corresponding to the one or more media objects. If the one or more media objects are identified as not owned by the service user based on the identifiers of, and the media object request information is received in response to one or more of an invitation message or a shared message of another service user: (a) the service user is granted access to a metaverse-based second virtual space of the other service user, and (b) the one or more media objects are displayed in the second virtual space to display the service user provided to, wherein the first virtual space is modeled based on geographic information of the service user obtained based on the location information of the service user, and the second virtual space is based on location information of the other service user. is modeled on the basis of geographic information of the other service user obtained by a movement is controlled to correspond to the movement, and it is identified that the avatar approaches a specific one of the one or more media objects in the first virtual space or the second virtual space; When the recognition range in the first virtual space or the second virtual space between the avatar and the specific media is less than or equal to a preset threshold: information related to the specific media object is displayed, and the avatar approaches the specific media object is identified based on a recognition range of the avatar identified from a traveling direction of the avatar and a recognition range within the first virtual space or the second virtual space between the avatar and each of the one or more media objects, the Based on one or more NFTs or the plurality of identifiers corresponding to one or more media objects, the one or more media objects are identified as not owned by the service user, or the media object request information is an invitation message or sharing of another service user. When received in response to one or more of the messages: The information related to the specific media object displayed in the second virtual space transmits a transaction request for at least one of an NFT issued for the specific media object or an object corresponding to the specific media object to the other service user. wherein at least one of an invitation message or a shared message of the other service user is used to: a first identifier used to identify the service user and a second identifier used to identify the other service user; Including: - When the media object request information is a response to one or more of an invitation message or a shared message of the other service user: (1) the media object request information includes a third identifier used to identify the service user and a fourth identifier used to identify the other service user, and (2) the first identifier and the third identifier are and if the second identifier and the fourth identifier match, the service user is granted access to the second virtual space, and the one or more media objects are provided to the service user in the second virtual space;, (3) if one or more of the first identifier and the third identifier do not match or the second identifier and the fourth identifier do not match are satisfied, the access right to the second virtual space is the service not granted to the user and the one or more media objects are not provided to the service user within the second virtual space; - when the media object request information is not a response to one or more of the invitation message or the shared message of the other service user: the media object request information includes the third identifier and a first used to identify the other service user 4 Does not include an identifier, the third identifier is used to identify whether the service user is a subscriber of a service operated by the electronic device, and the preprocessing for the raw media object includes: converting the raw media object to a predetermined second size obtaining a plurality of second images by dividing by; calibrating each of the plurality of second images to a high-resolution image while enlarging each of the plurality of second images; and merging the corrected plurality of second images to obtain the one media object. comprising, an electronic device.
The method of claim 1, wherein the processor is further configured to: after performing an operation related to providing the one or more media objects, when a transaction request related to a specific one of the one or more media objects is received from the service user:Identifies an owner of the specific media object based on the NFT issued for the specific media object, and between the owner and the service user, at least one of an NFT issued for the specific media object or an object corresponding to the specific media object An electronic device configured to provide an interface for a transaction to the service user.
delete
delete
delete</t>
  </si>
  <si>
    <t>Kim, Beom Jun|Kim, Hyo Jun</t>
  </si>
  <si>
    <t>G06Q05010000 | G06F02110000 | G06F02144000 | G06Q03006000 | G06Q05030000 | G06T00710000 | G06T01340000 | G06T01705000 | G06T01900000</t>
  </si>
  <si>
    <t>KR102464437B1</t>
  </si>
  <si>
    <t>KR102464437 B1</t>
  </si>
  <si>
    <t>I-000232498217</t>
  </si>
  <si>
    <t>20 years from 2022-05-04 (file date)</t>
  </si>
  <si>
    <t>https://patentscout.innography.com/share/ocd1VC340elWs1aGTX1hyQ%3D%3D</t>
  </si>
  <si>
    <t>2022-09-21-DECISION TO GRANT OR REGISTRATION OF PATENT RIGHT|2022-11-02-WRITTEN DECISION TO GRANT</t>
  </si>
  <si>
    <t>https://patentscout.innography.com/share/ocd1VC340elWs1aGTX1hyQ%3D%3D/download</t>
  </si>
  <si>
    <t>https://v3.espacenet.com/publicationDetails/biblio?CC=KR&amp;NR=102464437B1&amp;KC=B1&amp;FT=D&amp;date=20221109&amp;DB=EPODOC&amp;locale=</t>
  </si>
  <si>
    <t>KR20102464437 B1</t>
  </si>
  <si>
    <t>1.  An electronic device comprising: a memory; and a processor coupled to the memory. A method comprising:receiving media object request information from a service user, and providing one or more media objects corresponding to the media object request information among a plurality of media objects registered to be provided by the electronic device to the service user performing an operation related to, each of the plurality of media objects:acquiring a plurality of first images in which at least a portion of the specific object is captured in each of a plurality of regions obtained by segmentation of a specific object into a predetermined first size; obtaining a raw media object for the specific object by merging the plurality of first images; and obtaining one media object for the specific object based on the preprocessing of the raw media object. (i) for each of the plurality of media objects, a non-fungible token (NFT) is issued by the electronic device for proof of one or more of ownership or copyright of each media object, or (ii) an owner of each media object is identified among the plurality of service users based on a plurality of identifiers assigned to a plurality of service users including the service user, and one or more NFTs corresponding to the one or more media objects or if the one or more media objects are identified as owned by the service user based on the plurality of identifiers: The one or more media objects are displayed in a first virtual space based on the metaverse of the service user and provided to the service user, and the one or more NFTs or the plurality of media objects corresponding to the one or more media objects. If the one or more media objects are identified as not owned by the service user based on the identifiers of, and the media object request information is received in response to one or more of an invitation message or a shared message of another service user: (a) the service user is granted access to a metaverse-based second virtual space of the other service user, and (b) the one or more media objects are displayed in the second virtual space to display the service user provided to, wherein the first virtual space is modeled based on geographic information of the service user obtained based on the location information of the service user, and the second virtual space is based on location information of the other service user. is modeled on the basis of geographic information of the other service user obtained by a movement is controlled to correspond to the movement, and it is identified that the avatar approaches a specific one of the one or more media objects in the first virtual space or the second virtual space; When the recognition range in the first virtual space or the second virtual space between the avatar and the specific media is less than or equal to a preset threshold: information related to the specific media object is displayed, and the avatar approaches the specific media object is identified based on a recognition range of the avatar identified from a traveling direction of the avatar and a recognition range within the first virtual space or the second virtual space between the avatar and each of the one or more media objects, the Based on one or more NFTs or the plurality of identifiers corresponding to one or more media objects, the one or more media objects are identified as not owned by the service user, or the media object request information is an invitation message or sharing of another service user. When received in response to one or more of the messages: The information related to the specific media object displayed in the second virtual space transmits a transaction request for at least one of an NFT issued for the specific media object or an object corresponding to the specific media object to the other service user. wherein at least one of an invitation message or a shared message of the other service user is used to: a first identifier used to identify the service user and a second identifier used to identify the other service user; Including: - When the media object request information is a response to one or more of an invitation message or a shared message of the other service user: (1 ) the media object request information includes a third identifier used to identify the service user and a fourth identifier used to identify the other service user, and (2 ) the first identifier and the third identifier are and if the second identifier and the fourth identifier match, the service user is granted access to the second virtual space, and the one or more media objects are provided to the service user in the second virtual space;, (3 ) if one or more of the first identifier and the third identifier do not match or the second identifier and the fourth identifier do not match are satisfied, the access right to the second virtual space is the service not granted to the user and the one or more media objects are not provided to the service user within the second virtual space; - when the media object request information is not a response to one or more of the invitation message or the shared message of the other service user: the media object request information includes the third identifier and a first used to identify the other service user 4 Does not include an identifier, the third identifier is used to identify whether the service user is a subscriber of a service operated by the electronic device, and the preprocessing for the raw media object includes: converting the raw media object to a predetermined second size obtaining a plurality of second images by dividing by; calibrating each of the plurality of second images to a high-resolution image while enlarging each of the plurality of second images; and merging the corrected plurality of second images to obtain the one media object. comprising, an electronic device.</t>
  </si>
  <si>
    <t>JP2007110679 A | KR20100034685 A | KR102357429 B1</t>
  </si>
  <si>
    <t>A method for improving the processing performance of metaverse spatial data according to the technical spirit of the present disclosure includes the steps of requesting a server for at least a part of a plurality of divided views and receiving the at least some of the divided views from the server performing editing on the received divided drawings in response to the completion of the editing requesting the server for the remaining divided drawings among the plurality of divided drawings and receiving the remaining divided drawings; It may include performing binary conversion on each of the divided views and generating an integrated view for a viewer based on reference points of each of the plurality of divided views.</t>
  </si>
  <si>
    <t>Method for improving processing performance of metaverse spatial data</t>
  </si>
  <si>
    <t>spatial data|processing performance|improves processing|remaining divided|viewer based|technical|attribute information|reference point|integrated drawing</t>
  </si>
  <si>
    <t>KR20220026137A</t>
  </si>
  <si>
    <t>A method for improving the processing performance of metaverse spatial data, comprising: requesting a server for at least a partial division view among a plurality of divisional diagrams divided based on spatial coordinates for the spatial data; receiving from the server;performing editing on the received divided drawing;in response to completion of the editing, requesting the server for the remaining divided drawings among the plurality of divided drawings, and receiving the remaining divided drawings;performing binary conversion on each of the plurality of divided figures;Including; generating an integrated drawing for a viewer based on reference points of each of the plurality of divided drawings, wherein the generating of the integrated drawing for the viewer includes coordinate values of reference points corresponding to the plurality of divided views identifying them; and arranging each of the division figures corresponding to the identified coordinate values.</t>
  </si>
  <si>
    <t>A method for improving the processing performance of metaverse spatial data, comprising: requesting a server for at least a partial division view among a plurality of divisional diagrams divided based on spatial coordinates for the spatial data; receiving from the server;performing editing on the received divided drawing;in response to completion of the editing, requesting the server for the remaining divided drawings among the plurality of divided drawings, and receiving the remaining divided drawings;performing binary conversion on each of the plurality of divided figures;Including; generating an integrated drawing for a viewer based on reference points of each of the plurality of divided drawings, wherein the generating of the integrated drawing for the viewer includes coordinate values of reference points corresponding to the plurality of divided views identifying them; and arranging each of the division figures corresponding to the identified coordinate values.
The method according to claim 1, wherein the plurality of divided drawings are generated by dividing a master diagram corresponding to the entire virtual space by the server.
The method according to claim 1, further comprising the step of transmitting the created integrated drawing for the viewer and the edited divided drawing to the server.
delete
The method according to claim 1, wherein each of the reference points corresponding to the plurality of divided views corresponds to a center point of a bounding box having a minimum size including an object formed by a partial space of the entire virtual space.
The method according to claim 1, wherein the performing of the binary transformation comprises: generating a header field including coordinate values for reference points of the plurality of division drawings;The method further comprising generating a body field including information for indicating sizes of the plurality of attribute information.
The method of claim 6, wherein the body field is referenced to jump to the position of the N-th attribute information by summing the sizes of the first attribute information to the N-1th attribute information among the plurality of attribute information.</t>
  </si>
  <si>
    <t>Park, Sung Soo|Shin, Yun Sik</t>
  </si>
  <si>
    <t>G06T01920000 | G06T01700000</t>
  </si>
  <si>
    <t>KR102452930B1</t>
  </si>
  <si>
    <t>KR102452930 B1</t>
  </si>
  <si>
    <t>I-000231194168</t>
  </si>
  <si>
    <t>https://patentscout.innography.com/share/0jN3cYK5HxwddZ6fJ8Cn0g%3D%3D</t>
  </si>
  <si>
    <t>2022-09-26-DECISION TO GRANT OR REGISTRATION OF PATENT RIGHT|2022-10-05-WRITTEN DECISION TO GRANT</t>
  </si>
  <si>
    <t>https://patentscout.innography.com/share/0jN3cYK5HxwddZ6fJ8Cn0g%3D%3D/download</t>
  </si>
  <si>
    <t>https://v3.espacenet.com/publicationDetails/biblio?CC=KR&amp;NR=102452930B1&amp;KC=B1&amp;FT=D&amp;date=20221012&amp;DB=EPODOC&amp;locale=</t>
  </si>
  <si>
    <t>KR20102452930 B1</t>
  </si>
  <si>
    <t>1.  A method for improving the processing performance of metaverse spatial data, comprising: requesting a server for at least a partial division view among a plurality of divisional diagrams divided based on spatial coordinates for the spatial data; receiving from the server;performing editing on the received divided drawing;in response to completion of the editing, requesting the server for the remaining divided drawings among the plurality of divided drawings, and receiving the remaining divided drawings;performing binary conversion on each of the plurality of divided figures;Including; generating an integrated drawing for a viewer based on reference points of each of the plurality of divided drawings, wherein the generating of the integrated drawing for the viewer includes coordinate values of reference points corresponding to the plurality of divided views identifying them; and arranging each of the division figures corresponding to the identified coordinate values.</t>
  </si>
  <si>
    <t>KR102261065 B1 | KR102387892 B1 | KR102404585 B1 | KR102424667 B1 | KR20120060597 A</t>
  </si>
  <si>
    <t>2022-10-24</t>
  </si>
  <si>
    <t>2022-08-18</t>
  </si>
  <si>
    <t>2042-08-18</t>
  </si>
  <si>
    <t>The present invention is a metaverse seminar platform system a user terminal to attend a conference by creating an AI character through an installed application; a seminar server running through an application installed in one or more user terminals and providing conference content to participate in a conference using an AI character generated according to a user&amp;#39;s input; and a kiosk that communicates with the seminar server to output a conference content screen.</t>
  </si>
  <si>
    <t>Metaverse seminar platform system</t>
  </si>
  <si>
    <t>seminar|conference content|server running|lower support|support column|lower support column</t>
  </si>
  <si>
    <t>Marple Inc.</t>
  </si>
  <si>
    <t>Marple Printing Co Ltd</t>
  </si>
  <si>
    <t>KR20220103237A</t>
  </si>
  <si>
    <t>A user terminal participating in a conference by creating an AI character through an installed application;a seminar server running through an application installed in one or more user terminals, and providing conference content to participate in a conference using an AI character generated according to a user's input; and a kiosk communicating with the seminar server to output a conference content screen, wherein the seminar server communicates with the user terminal and the kiosk to input AI character information from the user terminal a transceiver for receiving and outputting a conference content screen to the kiosk;an image input unit for inputting an image of a conference venue to be held, and receiving the entire photographed image of the conference venue and a partial photographed image of the conference venue;a region divider for dividing an area of the conference hall for each operation type operated including information, events, and questionnaires based on the entire captured image and the partial captured image input through the image input unit;a conference production unit that prepares the expected drawings of the entire conference hall and each booth according to the theme of the conference being held, and places the booths according to the movement of each booth according to each type of operation; and an exhibition production unit that produces 3D drawings of the conference hall in accordance with the location and expected drawings of the booths produced by the conference production unit, and produces conference contents based on the 3D drawings, wherein the kiosk includes, the conference contents screen a screen unit that outputsa touch unit provided to select each booth identified through the conference content screen output to the screen unit; and a leg part located at a lower end of the screen part and supporting the screen part and the touch part to maintain a constant distance from the floor surface, wherein the kiosk is located between the leg part and the floor surface and includes the screen part, the It further includes; a shock mitigating unit for alleviating the impact applied to the touch unit and the leg unit, wherein the shock mitigating unit is formed in a cylindrical shape, the upper end of which is formed in the shape of a pointed cone;A plurality of buffer rings surrounding the outer surface of the lower support column and positioned at the upper end of the lower support column, the center is formed of a donut-shaped disk having the same diameter as the diameter of the lower support column; And the center is formed in the shape of a square plate having the same diameter as the diameter of the lower support column, the upper support plate located on the upper end of the buffer ring; including, the lower support column, surrounding the lower outer surface and constant A plurality of wing portions are provided at intervals, and one side of the wing portion is fixedly connected to the outer surface of the lower support column and positioned perpendicular to the lower support column, but at least four are fixedly connected to the lower support column Prevents inclination in this one direction, and the wing portion, the other side is formed to be inclined with a certain angle, so that the bottom surface in contact with the bottom surface is formed longer than the top surface, and the buffer ring is located in the center of the hole in the space. Positioned to be stacked on the upper end of the wing part by the wing part while the lower support post is press-fitted, the buffer ring, It is formed of a material that absorbs vibration of the leg part by an external shock to prevent the leg part from being damaged by an external shock or vibration by inclining and the kiosk is damaged, and the upper support plate has a hole in the center. The lower support column is positioned at the top of the buffer ring while the lower support column is pressed into the space, and the upper support plate has an upper surface parallel to the top of the cone-shaped pointed end of the lower support column, so that the upper surface is in close contact with the leg portion The metaverse seminar platform system is fixed, and the shock mitigating unit is located at each corner of the lower end surface of the leg unit.</t>
  </si>
  <si>
    <t>A user terminal participating in a conference by creating an AI character through an installed application;a seminar server running through an application installed in one or more user terminals, and providing conference content to participate in a conference using an AI character generated according to a user's input; and a kiosk communicating with the seminar server to output a conference content screen, wherein the seminar server communicates with the user terminal and the kiosk to input AI character information from the user terminal a transceiver for receiving and outputting a conference content screen to the kiosk;an image input unit for inputting an image of a conference venue to be held, and receiving the entire photographed image of the conference venue and a partial photographed image of the conference venue;a region divider for dividing an area of the conference hall for each operation type operated including information, events, and questionnaires based on the entire captured image and the partial captured image input through the image input unit;a conference production unit that prepares the expected drawings of the entire conference hall and each booth according to the theme of the conference being held, and places the booths according to the movement of each booth according to each type of operation; and an exhibition production unit that produces 3D drawings of the conference hall in accordance with the location and expected drawings of the booths produced by the conference production unit, and produces conference contents based on the 3D drawings, wherein the kiosk includes, the conference contents screen a screen unit that outputsa touch unit provided to select each booth identified through the conference content screen output to the screen unit; and a leg part located at a lower end of the screen part and supporting the screen part and the touch part to maintain a constant distance from the floor surface, wherein the kiosk is located between the leg part and the floor surface and includes the screen part, the It further includes; a shock mitigating unit for alleviating the impact applied to the touch unit and the leg unit, wherein the shock mitigating unit is formed in a cylindrical shape, the upper end of which is formed in the shape of a pointed cone;A plurality of buffer rings surrounding the outer surface of the lower support column and positioned at the upper end of the lower support column, the center is formed of a donut-shaped disk having the same diameter as the diameter of the lower support column; And the center is formed in the shape of a square plate having the same diameter as the diameter of the lower support column, the upper support plate located on the upper end of the buffer ring; including, the lower support column, surrounding the lower outer surface and constant A plurality of wing portions are provided at intervals, and one side of the wing portion is fixedly connected to the outer surface of the lower support column and positioned perpendicular to the lower support column, but at least four are fixedly connected to the lower support column Prevents inclination in this one direction, and the wing portion, the other side is formed to be inclined with a certain angle, so that the bottom surface in contact with the bottom surface is formed longer than the top surface, and the buffer ring is located in the center of the hole in the space. Positioned to be stacked on the upper end of the wing part by the wing part while the lower support post is press-fitted, the buffer ring, It is formed of a material that absorbs vibration of the leg part by an external shock to prevent the leg part from being damaged by an external shock or vibration by inclining and the kiosk is damaged, and the upper support plate has a hole in the center. The lower support column is positioned at the top of the buffer ring while the lower support column is pressed into the space, and the upper support plate has an upper surface parallel to the top of the cone-shaped pointed end of the lower support column, so that the upper surface is in close contact with the leg portion The metaverse seminar platform system is fixed, and the shock mitigating unit is located at each corner of the lower end surface of the leg unit.
delete
delete</t>
  </si>
  <si>
    <t>Jeong, Unchang</t>
  </si>
  <si>
    <t>G06Q05010000 | G06T01340000 | G06T01900000 | G06T01920000 | G07F00902000 | G07F01716000</t>
  </si>
  <si>
    <t>KR102458225B1</t>
  </si>
  <si>
    <t>I-000231723921</t>
  </si>
  <si>
    <t>20 years from 2022-08-18 (file date)</t>
  </si>
  <si>
    <t>https://patentscout.innography.com/share/APQqNWpOcstv9GH1-STtzg%3D%3D</t>
  </si>
  <si>
    <t>2022-10-17-DECISION TO GRANT OR REGISTRATION OF PATENT RIGHT|2022-10-19-WRITTEN DECISION TO GRANT</t>
  </si>
  <si>
    <t>https://patentscout.innography.com/share/APQqNWpOcstv9GH1-STtzg%3D%3D/download</t>
  </si>
  <si>
    <t>https://v3.espacenet.com/publicationDetails/biblio?CC=KR&amp;NR=102458225B1&amp;KC=B1&amp;FT=D&amp;date=20221024&amp;DB=EPODOC&amp;locale=</t>
  </si>
  <si>
    <t>KR20102458225 B1</t>
  </si>
  <si>
    <t>1.  A user terminal participating in a conference by creating an AI character through an installed application;a seminar server running through an application installed in one or more user terminals, and providing conference content to participate in a conference using an AI character generated according to a user's input; and a kiosk communicating with the seminar server to output a conference content screen, wherein the seminar server communicates with the user terminal and the kiosk to input AI character information from the user terminal a transceiver for receiving and outputting a conference content screen to the kiosk;an image input unit for inputting an image of a conference venue to be held, and receiving the entire photographed image of the conference venue and a partial photographed image of the conference venue;a region divider for dividing an area of the conference hall for each operation type operated including information, events, and questionnaires based on the entire captured image and the partial captured image input through the image input unit;a conference production unit that prepares the expected drawings of the entire conference hall and each booth according to the theme of the conference being held, and places the booths according to the movement of each booth according to each type of operation; and an exhibition production unit that produces 3D drawings of the conference hall in accordance with the location and expected drawings of the booths produced by the conference production unit, and produces conference contents based on the 3D drawings, wherein the kiosk includes, the conference contents screen a screen unit that outputsa touch unit provided to select each booth identified through the conference content screen output to the screen unit; and a leg part located at a lower end of the screen part and supporting the screen part and the touch part to maintain a constant distance from the floor surface, wherein the kiosk is located between the leg part and the floor surface and includes the screen part, the It further includes; a shock mitigating unit for alleviating the impact applied to the touch unit and the leg unit, wherein the shock mitigating unit is formed in a cylindrical shape, the upper end of which is formed in the shape of a pointed cone;A plurality of buffer rings surrounding the outer surface of the lower support column and positioned at the upper end of the lower support column, the center is formed of a donut-shaped disk having the same diameter as the diameter of the lower support column; And the center is formed in the shape of a square plate having the same diameter as the diameter of the lower support column, the upper support plate located on the upper end of the buffer ring; including, the lower support column, surrounding the lower outer surface and constant A plurality of wing portions are provided at intervals, and one side of the wing portion is fixedly connected to the outer surface of the lower support column and positioned perpendicular to the lower support column, but at least four are fixedly connected to the lower support column Prevents inclination in this one direction, and the wing portion, the other side is formed to be inclined with a certain angle, so that the bottom surface in contact with the bottom surface is formed longer than the top surface, and the buffer ring is located in the center of the hole in the space. Positioned to be stacked on the upper end of the wing part by the wing part while the lower support post is press-fitted, the buffer ring, It is formed of a material that absorbs vibration of the leg part by an external shock to prevent the leg part from being damaged by an external shock or vibration by inclining and the kiosk is damaged, and the upper support plate has a hole in the center. The lower support column is positioned at the top of the buffer ring while the lower support column is pressed into the space, and the upper support plate has an upper surface parallel to the top of the cone-shaped pointed end of the lower support column, so that the upper surface is in close contact with the leg portion The metaverse seminar platform system is fixed, and the shock mitigating unit is located at each corner of the lower end surface of the leg unit.</t>
  </si>
  <si>
    <t>KR102205875 B1 | KR102421159 B1 | KR102440745 B1</t>
  </si>
  <si>
    <t>2011-01-24</t>
  </si>
  <si>
    <t>2026-01-24</t>
  </si>
  <si>
    <t>PURPOSE: A contents transmitting system in a multi meta-verse environment is provided to use a transmission standard even if a meta-verse is changed by endowing an identifier to a game contents and integratedly managing the game contents. CONSTITUTION: A multi-verse management platform(300) comprises an integrated user DB(320) a multi-verse user managing unit(310) and an integrated contents DB(340). The integrated user DB(320) stores the login information of user. The multi-verse user managing unit(310) checks the validity of the login information of user. The integrated contents DB(340) stores contents addresses of a first and a second meta servers.</t>
  </si>
  <si>
    <t>KR20090064933A</t>
  </si>
  <si>
    <t>A plurality of metaverses including first and second metaverses that provide different mixed reality environments for the user to perform various business activities through the content; AndSupport the teleport function between the first and second metaverses, convert the value of the content so that the content utilized in the first metaverse is utilized in the second metaverse, and convert the value through the teleport function A multiverse management platform that integrates and manages the plurality of metaverses so that content is utilized in the second metaverse.Content delivery management system in a multi metaverse environment comprising a.
The system of claim 1, further comprising a user client system for downloading the content containing game software from the metaverse and executing the downloaded game software,The user client system,Log in to the first metaverse of the plurality of metaverses through the multiverse management platform, and use the teleport function while logged in to the first metaverse, from the first metaverse to the second metaverse A content delivery management system in a multi-metaverse environment, characterized by teleporting.
The method of claim 1, wherein the multiverse management platform,An integrated user database storing user login information; AndThe multi-bus user manager to check the integrated user database to check the validity of the login information of the user.Content delivery management system in a multi-metaverse environment comprising a.
The method of claim 1, wherein the multiverse management platform,An integrated content database storing content addresses of the first and second metaservers; AndAnd a multiverse content manager configured to receive the stored content addresses in the form of a globally unique identifier (GUID) and to grasp information of the first and second metaverses received in the form of the GUID. Content delivery management system in a multi metaverse environment.
The method of claim 4, wherein the multiverse content management unit,Determine the information of the first and second metaverses through the first and second content addresses including the identifiers of the first and second metaverses and the first and second content identifiers, And transmitting an identifier to the specific metaverse to transmit the contents of the specific metaverse to the user client system.
The method of claim 4, further comprising a content negotiation rule database in which conversion rules for contents between the metaverses are stored.The multiverse content management unit,Search the contents possessed by the user in the integrated contents database, query the contents negotiation rules corresponding to the contents of the first metaverse stored in the contents negotiation rule database, and convert the contents into contents usable in the second metaverse Content management system in a multi metaverse environment, characterized in that the mapping.
The user client system logging in to a particular metaverse of the plurality of metaverses, each providing a plurality of mixed reality environments;Receiving game content information for the particular metaverse to the valid user client system;If the game content has been previously transmitted or there is no game content in the user client system due to a change in the client terminal, etc., checking a content transmission history of an integrated content database to confirm a final game content version;Requesting content transmission to the specific metaverse through the content information, and receiving the content for the final content version to start a gameContent delivery management method in a multi-metaverse environment comprising a.
The method of claim 7, wherein logging in to the specific metaverse comprises:And transmitting, by a user client system, login information to a specific metaverse using a teleport function between the metaverses.
In the content transmission management method in a multi metaverse environment using game content,Providing a plurality of metaverses including first and second metaverses providing a plurality of mixed reality environments;Requesting, by a user client system, a teleport function from the first metaverse to the second metaverse from a multiverse platform;Querying, by the multiverse contents management unit, game contents held by the user in the multiverse contents database;The multiverse content manager inquires the content negotiation rule corresponding to the game content of the first metaverse, converts the game content of the first metaverse into game content available in the second metaverse, and maps the mapping. Making; AndRequesting, by the multiverse content management unit, the second metaverse to transmit the mapped game content converted in the second metaverse to a user client system.Content transmission management method in a multi-metaverse environment comprising a.
The contents of the multi- metaverse environment of claim 8, further comprising the step of the multiverse content management unit constructing a content negotiation rule database in which the content negotiation rules are stored so as to query the content negotiation rules. How to manage transport.</t>
  </si>
  <si>
    <t>I-000094321927</t>
  </si>
  <si>
    <t>15 years from 2011-01-24 (publish date)</t>
  </si>
  <si>
    <t>https://patentscout.innography.com/share/knPmdxTG9S5vFFwZzryPTA%3D%3D</t>
  </si>
  <si>
    <t>2009-07-16-REQUEST FOR EXAMINATION|2012-09-03-NOTIFICATION OF REASON FOR REFUSAL|2013-03-22-DECISION TO REFUSE APPLICATION</t>
  </si>
  <si>
    <t>https://patentscout.innography.com/share/knPmdxTG9S5vFFwZzryPTA%3D%3D/download</t>
  </si>
  <si>
    <t>https://v3.espacenet.com/publicationDetails/biblio?CC=KR&amp;NR=20110007419A&amp;KC=A&amp;FT=D&amp;date=20110124&amp;DB=EPODOC&amp;locale=</t>
  </si>
  <si>
    <t>특허법인지명</t>
  </si>
  <si>
    <t>1. A plurality of metaverses including first and second metaverses that provide different mixed reality environments for the user to perform various business activities through the content; AndSupport the teleport function between the first and second metaverses, convert the value of the content so that the content utilized in the first metaverse is utilized in the second metaverse, and convert the value through the teleport function A multiverse management platform that integrates and manages the plurality of metaverses so that content is utilized in the second metaverse.Content delivery management system in a multi metaverse environment comprising a.</t>
  </si>
  <si>
    <t>7. The user client system logging in to a particular metaverse of the plurality of metaverses, each providing a plurality of mixed reality environments;Receiving game content information for the particular metaverse to the valid user client system;If the game content has been previously transmitted or there is no game content in the user client system due to a change in the client terminal, etc., checking a content transmission history of an integrated content database to confirm a final game content version;Requesting content transmission to the specific metaverse through the content information, and receiving the content for the final content version to start a gameContent delivery management method in a multi-metaverse environment comprising a.</t>
  </si>
  <si>
    <t>9. In the content transmission management method in a multi metaverse environment using game content,Providing a plurality of metaverses including first and second metaverses providing a plurality of mixed reality environments;Requesting, by a user client system, a teleport function from the first metaverse to the second metaverse from a multiverse platform;Querying, by the multiverse contents management unit, game contents held by the user in the multiverse contents database;The multiverse content manager inquires the content negotiation rule corresponding to the game content of the first metaverse, converts the game content of the first metaverse into game content available in the second metaverse, and maps the mapping. Making; AndRequesting, by the multiverse content management unit, the second metaverse to transmit the mapped game content converted in the second metaverse to a user client system.Content transmission management method in a multi-metaverse environment comprising a.</t>
  </si>
  <si>
    <t>2012-07-09</t>
  </si>
  <si>
    <t>2010-12-09</t>
  </si>
  <si>
    <t>2016-01-10</t>
  </si>
  <si>
    <t>PURPOSE: A remote management and control system for multiple fusion metaverse contents is provided to transmit and receive various types of fusion metaverse contents and reservation-control and reproduce fusion metaverse contents stored in a database in real time. CONSTITUTION: A user terminal transmits data through a wire/wireless communication network. One of an instruction for playback reserved playback or control of multiple fusion metaverse contents and an instruction for storage of fusion metaverse contents in a database is set to the data. A server module(100) analyzes the data received from the user terminal and implements playback or reserved playback of multiple fusion metaverse contents stored in a database server(110).</t>
  </si>
  <si>
    <t>Remote management and control system for multiple fusion metaverse contents</t>
  </si>
  <si>
    <t>sensory|remote management|database server</t>
  </si>
  <si>
    <t>KR20100125716A</t>
  </si>
  <si>
    <t>A user-side terminal which transmits, through a wired or wireless network, data in which one of a command for reproducing, reserving, or controlling the multi-realistic fusion content and the command for storing the sensory fusion content in the database is set;  A server module for reproducing or pre-playing the multi sensory fusion content stored in the database server through analysis of the data received from the user side terminal, or storing the multi sensory fusion sensory fusion content in the database server.  Multi realistic fusion content remote management and control system.</t>
  </si>
  <si>
    <t>Kim, Chae Gyu|Lee, Sang Ho</t>
  </si>
  <si>
    <t>G06Q0050100000 | G06F0016438000</t>
  </si>
  <si>
    <t>KR20120076658A</t>
  </si>
  <si>
    <t>KR20120076658 A</t>
  </si>
  <si>
    <t>I-000106936123</t>
  </si>
  <si>
    <t>https://patentscout.innography.com/share/ewTqzLA0P8nqNyKf_sYhsQ%3D%3D</t>
  </si>
  <si>
    <t>2016-01-10-WITHDRAWAL DUE TO NO REQUEST FOR EXAMINATION</t>
  </si>
  <si>
    <t>https://patentscout.innography.com/share/ewTqzLA0P8nqNyKf_sYhsQ%3D%3D/download</t>
  </si>
  <si>
    <t>https://v3.espacenet.com/publicationDetails/biblio?CC=KR&amp;NR=20120076658A&amp;KC=A&amp;FT=D&amp;date=20120709&amp;DB=EPODOC&amp;locale=</t>
  </si>
  <si>
    <t>김원준 | 제일특허법인</t>
  </si>
  <si>
    <t>1. A user-side terminal which transmits, through a wired or wireless network, data in which one of a command for reproducing, reserving, or controlling the multi-realistic fusion content and the command for storing the sensory fusion content in the database is set;  A server module for reproducing or pre-playing the multi sensory fusion content stored in the database server through analysis of the data received from the user side terminal, or storing the multi sensory fusion sensory fusion content in the database server.  Multi realistic fusion content remote management and control system.</t>
  </si>
  <si>
    <t>2029-01-09</t>
  </si>
  <si>
    <t>Program, metaverse system, method, metaverse group link system and apparatus for controlling avatar movement</t>
  </si>
  <si>
    <t>On the computer,  A procedure for opening a group link connection in response to a request from a user to open a group link connection, wherein the user is designated as a leader of a linked group associated with the group link connection. And wherein the linked group includes a plurality of linked users; and  In response to an input command by the user, a procedure for controlling an avatar operation associated with the user;  In response to an input command by the user, controlling the behavior of other users' avatars in the linked group;  Sending a group link invitation to invite other users to join the linked group from the leader of the linked group;  Linking the other user to the group link connection in response to the other user accepting the group link invitation to solicit to join the linked group;  A procedure for setting a group link solicitation end date that limits the acceptance period of the group link solicitation;  A program for executing a procedure for setting a maximum group size upper limit value for maintaining an upper limit of a maximum number of users allowed to join the linked group ,  A program for transferring a temporary nomination as a leader of the group link connection to another user in response to an input command by the user ;</t>
  </si>
  <si>
    <t>G06F01300000 | A63F01333000 | G06T01900000</t>
  </si>
  <si>
    <t>$24336</t>
  </si>
  <si>
    <t>20 years from 2009-01-09 (file date)</t>
  </si>
  <si>
    <t>https://patentscout.innography.com/share/-SxBIutECc5OU9duZYKh4g%3D%3D</t>
  </si>
  <si>
    <t>https://patentscout.innography.com/share/-SxBIutECc5OU9duZYKh4g%3D%3D/download</t>
  </si>
  <si>
    <t>https://v3.espacenet.com/publicationDetails/biblio?CC=JP&amp;NR=5731101B2&amp;KC=B2&amp;FT=D&amp;date=20150610&amp;DB=EPODOC&amp;locale=</t>
  </si>
  <si>
    <t>上野  剛史 | 太佐  種一</t>
  </si>
  <si>
    <t>1. On the computer,  A procedure for opening a group link connection in response to a request from a user to open a group link connection, wherein the user is designated as a leader of a linked group associated with the group link connection. And wherein the linked group includes a plurality of linked users; and  In response to an input command by the user, a procedure for controlling an avatar operation associated with the user;  In response to an input command by the user, controlling the behavior of other users' avatars in the linked group;  Sending a group link invitation to invite other users to join the linked group from the leader of the linked group;  Linking the other user to the group link connection in response to the other user accepting the group link invitation to solicit to join the linked group;  A procedure for setting a group link solicitation end date that limits the acceptance period of the group link solicitation;  A program for executing a procedure for setting a maximum group size upper limit value for maintaining an upper limit of a maximum number of users allowed to join the linked group ,  A program for transferring a temporary nomination as a leader of the group link connection to another user in response to an input command by the user ;</t>
  </si>
  <si>
    <t>CN102033740 A</t>
  </si>
  <si>
    <t>2009-07-15</t>
  </si>
  <si>
    <t>2012-02-15</t>
  </si>
  <si>
    <t>Ibm</t>
  </si>
  <si>
    <t>IBM</t>
  </si>
  <si>
    <t>CN200910001633A</t>
  </si>
  <si>
    <t xml:space="preserve">a kind of method comprises:
				    In response to from the user, connect in order to open group link connection requests and to open group's link, wherein described user is appointed as with the group link join dependency connection linked group the guide, what wherein linked group comprises a plurality of users that link;
				    Control the action of the incarnation that is associated with described user in response to described user's input command; And
				    Control another user's of the group who is linked the action of another incarnation in response to described user's input command.
</t>
  </si>
  <si>
    <t>1, a kind of method comprises:
				    In response to from the user, connect in order to open group link connection requests and to open group's link, wherein described user is appointed as with the group link join dependency connection linked group the guide, what wherein linked group comprises a plurality of users that link;
				    Control the action of the incarnation that is associated with described user in response to described user's input command; And
				    Control another user's of the group who is linked the action of another incarnation in response to described user's input command.
				    2, method according to claim 1 comprises that further the group is linked invitation sends to other users to add the group's linked step from the group's that linked guide.
				    3, method according to claim 2 further comprises in response to group's link invitation of being accepted to add the group who is linked by other users and with other users being linked to group's link step of connecting.
				    4, method according to claim 3 comprises that further group's link is set invites the time limit with the restriction group step of accepting the time period that link is invited.
				    5, method according to claim 4 further comprises maximum cluster scale restriction being set to keep the step about the user's that allows to add the group who is linked maximum number quantitative limitation.
				    6, method according to claim 1 comprises that further configuration group link connects the step of profile, and described group's link connects the tabulation that profile comprises a plurality of users that link of the group who is linked.
				    7, method according to claim 1 further comprises stopping group's link step of connecting.
				    8, method according to claim 1 further comprises the step of controlling group's motion in response to user's input command.
				    9, method according to claim 1 further comprises other incarnation of controlling other users step with the obstacle in the path of other incarnation of avoiding other users.
				    10, a kind of virtual reality system comprises:
				    Client computer, it is coupled to network;
				    The virtual reality server, it is coupled to client computer, and described virtual reality server is presided over the virtual reality application program;
				    Group's link engine, it is coupled to the virtual reality server, described group's link engine connects in response to opening group's link from the opening group's link connection requests of user, wherein the group who is linked who links join dependency connection with the group comprises at least two users that linked, and be designated as one of at least the guide the who link group who is linked of join dependency connection with the group among the user who is linked, described group of link engines comprise:
				    Group's link controller, it allows the guide to control the action of at least one other user's incarnation.
				    11, virtual reality according to claim 10 system, described group's link engine further comprises group's link allocation engine, and it is coupled to group link controller, and described group's link allocation engine sends group's link to another user and invites the group who is linked to add.
				    12, virtual reality according to claim 11 system, wherein said group's link allocation engine further is configured to invite and other users are linked to group's link in response to group's link of being accepted to add the group who is linked by other users connect.
				    13, virtual reality according to claim 11 system, wherein said group's link allocation engine stops group's link in response to the group links user's refusal of invitation and invites.
				    14, virtual reality according to claim 10 system, described group's link allocation engine further is configured to stop group's link and connects.
				    15, virtual reality according to claim 10 system, described group's link controller further is configured to control group's motion in response to the group's who is linked guide's input command, and wherein said group's motion comprises:
				    Group's motion of cascade, wherein arrange user among the group linked with predesigned order, at first carried out by the guide with the motion that allows to be initiated by the guide, after predetermined delay, the user is according to carrying out that motion in the grade of user described in the group who is linked then;
				    The moment that postpones moves, and wherein except all the other people of the group that linked, the guide moves to reposition moment, and after predetermined delay, all the other people of the group who is linked are then moved to described reposition by moment; Perhaps
				    The moment of checking moves, and wherein except all the other people of the group that linked, the guide moves to reposition moment, and all the other people of the group who is linked in response to the guide to the affirmation that advances to reposition and moment moves to reposition.
				    16, virtual reality according to claim 10 system, wherein said group's link controller in response to from user among the group who is linked, in order to preserve the request of a plurality of groups of motions, the described a plurality of groups of motions of storage on memory storage.
				    17, virtual reality according to claim 10 system, wherein said group's link controller allows at least one other user to refuse the action of described at least one other user's of control that the guide initiates incarnation.
				    18, a kind of method comprises:
				    In response to from the user, connect in order to open group link connection requests and to open group's link, wherein the group who is linked who links join dependency connection with the group comprises at least two users that linked, and among the user who is linked be designated as one of at least with group's being linked of link that join dependency joins group the guide; And
				    In response to control by the group's who is linked guide's input command with group's being linked of link that join dependency joins group the action of a plurality of incarnation.
				    19, method according to claim 18 further comprises:
				    The group's link that sends the group who is linked in order to adding to another user is invited;
				    Accept to invite in response to other users, connect and other users are linked to group's link in order to the group's link that adds the group who is linked; And
				    Preserve group's link and connect profile.
				    20, method according to claim 18 further comprises:
				    At least provisionally the user who is linked is linked to connect from the group and disconnect; And
				    Reconnect to the group who is linked with link the user who is linked who connects disconnection from the group temporarily.
				    21, method according to claim 18 further comprises:
				    The request user links the guide's of connection the transfer of appointment as the group; And
				    Another user that group's link connects is transferred in the appointment that the group is linked the guide of connection.
				    22, a kind of virtual reality group link system comprises:
				    Guide's client computer, it is coupled to network, and described guide's client computer sends opens group's link connection requests;
				    Guide's display device, it shows guide's virtual reality client reader;
				    Group's link engine, it is coupled to the virtual reality application program, described group's link engine is opened group's link in response to opening group's link connection requests and is connected, and wherein the user on guide's client computer is appointed as the guide who links the group who is linked of join dependency connection with the group;
				    Guide group's url interface, it is coupled to guide's client computer, and described guide group's url interface has promoted configuration group link connection profile and has linked invitation to another user's transmission in order to the group who adds the group who is linked;
				    Follower's client computer, it is coupled to network, and described follower's client computer receives group's link and invites;
				    Follower's display device, it shows follower's virtual reality client reader; And
				    Follower group's url interface, it is coupled to the virtual reality application program, described follower group's url interface has promoted other users to accept the group that group's link is invited and adding is linked, and wherein other users that are associated with follower's client computer are designated as the follower who links the group who is linked of join dependency connection with the group.
				    23, virtual reality group link system according to claim 22, wherein in response to linking the group's who is linked of join dependency connection guide's the transfer of appointment with the group, the follower who links the group who is linked of join dependency connection with the group be designated as with group's being linked of link that join dependency joins group new guide.
				    24, virtual reality group link system according to claim 22, wherein the follower of group's link connection links to connect from the group at least temporarily and disconnects, and the scale that links connection in response to the group links the determining of maximum cluster scale restriction of connection less than the group, then links the group to add the group who is linked again before inviting expiration.
				    25, a kind of equipment comprises:
				    Be used to create virtual reality user's the group's who is linked device, each virtual reality is with being associated with the incarnation of virtual reality application program per family, and wherein one of virtual reality user is designated as the group's who is linked guide; And
				    Be used in response to the action of virtual reality user's the group's who is linked the incarnation that is associated of guide, the device of the action of all incarnation of the group that control is linked.</t>
  </si>
  <si>
    <t>Richards, Jones Angela|Vandana, Mallempatl</t>
  </si>
  <si>
    <t>G06F01900000</t>
  </si>
  <si>
    <t>I-000081840460</t>
  </si>
  <si>
    <t>https://patentscout.innography.com/share/Dwg45BYQs65Qgf3zXStH5w%3D%3D</t>
  </si>
  <si>
    <t>2009-07-15-PUBLICATION|2009-09-09-ENTRY INTO SUBSTANTIVE EXAMINATION|2012-02-15-DEEMED WITHDRAWAL OF PATENT APPLICATION AFTER PUBLICATION (PATENT LAW 2001)</t>
  </si>
  <si>
    <t>https://patentscout.innography.com/share/Dwg45BYQs65Qgf3zXStH5w%3D%3D/download</t>
  </si>
  <si>
    <t>https://v3.espacenet.com/publicationDetails/biblio?CC=CN&amp;NR=101482900A&amp;KC=A&amp;FT=D&amp;date=20090715&amp;DB=EPODOC&amp;locale=</t>
  </si>
  <si>
    <t>CN101482900 A</t>
  </si>
  <si>
    <t>Liu Shen &amp; Associates 北京市柳沈律师事务所</t>
  </si>
  <si>
    <t>郭定辉 | Guo Dinghui</t>
  </si>
  <si>
    <t>1. a kind of method comprises:
				    In response to from the user, connect in order to open group link connection requests and to open group's link, wherein described user is appointed as with the group link join dependency connection linked group the guide, what wherein linked group comprises a plurality of users that link;
				    Control the action of the incarnation that is associated with described user in response to described user's input command; And
				    Control another user's of the group who is linked the action of another incarnation in response to described user's input command.</t>
  </si>
  <si>
    <t>10. a kind of virtual reality system comprises:
				    Client computer, it is coupled to network;
				    The virtual reality server, it is coupled to client computer, and described virtual reality server is presided over the virtual reality application program;
				    Group's link engine, it is coupled to the virtual reality server, described group's link engine connects in response to opening group's link from the opening group's link connection requests of user, wherein the group who is linked who links join dependency connection with the group comprises at least two users that linked, and be designated as one of at least the guide the who link group who is linked of join dependency connection with the group among the user who is linked, described group of link engines comprise:
				    Group's link controller, it allows the guide to control the action of at least one other user's incarnation.</t>
  </si>
  <si>
    <t>18. a kind of method comprises:
				    In response to from the user, connect in order to open group link connection requests and to open group's link, wherein the group who is linked who links join dependency connection with the group comprises at least two users that linked, and among the user who is linked be designated as one of at least with group's being linked of link that join dependency joins group the guide; And
				    In response to control by the group's who is linked guide's input command with group's being linked of link that join dependency joins group the action of a plurality of incarnation.</t>
  </si>
  <si>
    <t>22. a kind of virtual reality group link system comprises:
				    Guide's client computer, it is coupled to network, and described guide's client computer sends opens group's link connection requests;
				    Guide's display device, it shows guide's virtual reality client reader;
				    Group's link engine, it is coupled to the virtual reality application program, described group's link engine is opened group's link in response to opening group's link connection requests and is connected, and wherein the user on guide's client computer is appointed as the guide who links the group who is linked of join dependency connection with the group;
				    Guide group's url interface, it is coupled to guide's client computer, and described guide group's url interface has promoted configuration group link connection profile and has linked invitation to another user's transmission in order to the group who adds the group who is linked;
				    Follower's client computer, it is coupled to network, and described follower's client computer receives group's link and invites;
				    Follower's display device, it shows follower's virtual reality client reader; And
				    Follower group's url interface, it is coupled to the virtual reality application program, described follower group's url interface has promoted other users to accept the group that group's link is invited and adding is linked, and wherein other users that are associated with follower's client computer are designated as the follower who links the group who is linked of join dependency connection with the group.</t>
  </si>
  <si>
    <t>25. a kind of equipment comprises:
				    Be used to create virtual reality user's the group's who is linked device, each virtual reality is with being associated with the incarnation of virtual reality application program per family, and wherein one of virtual reality user is designated as the group's who is linked guide; And
				    Be used in response to the action of virtual reality user's the group's who is linked the incarnation that is associated of guide, the device of the action of all incarnation of the group that control is linked.</t>
  </si>
  <si>
    <t>2042-06-17</t>
  </si>
  <si>
    <t>The invention claims an ER simulating real element space platform 3 D pole speed editing system comprising: creating a work unit for the user to create a type of the 3 D item by the instruction; the editing work unit is used for adding hot spot and scene light to the 3 D item and setting the trigger condition of the hot spot; the preview work list is used for presenting the finished state of the edited work unit after editing the 3 D project; connecting the editing work unit and the preview work unit through preset action action respectively storing the work unit for storing the user 3 D item and generating a picture of one state of displaying the 3 D item for the user to select. The invention through dragging the interactive to the VR scene adding content and editing the position and shape simple and easy operation adding audio to different scenes hotspot transmission to enhance the interaction of the item 3D scene rich wide modification range low requirement of the basic hardware convenient to popularize three-dimensional scene by drag type interaction the modification is very simple it is convenient for new hand to use.</t>
  </si>
  <si>
    <t>Ear simulation reality metaverse platform three-dimensional platform 3 d pole speed editing system</t>
  </si>
  <si>
    <t>Shanghai Aikebo Information Technology Co., Ltd.</t>
  </si>
  <si>
    <t>SHANGHAI AIKEBO INFORMATION TECHNOLOGY CO., LTD.</t>
  </si>
  <si>
    <t>CN202210692819A</t>
  </si>
  <si>
    <t>1. An ER fitting reality metaverse platform three-dimensional platform 3 D pole speed editing system, wherein The system comprises: creating a work unit, the creating work unit for the user to create a type of the 3 D item by the instruction; editing the work unit, the editing work unit is connected with the creating work unit, the editing work unit is used for adding hot spot and scene light to the 3 D item, and setting the trigger condition of the hot spot; a preview work unit, the preview work unit is connected with the editing work unit, the preview work unit is used for presenting the editing work unit after editing the finished state of the 3 D item, a storage work unit, connected with the editing work unit and the preview work unit through the preset action action respectively the storage work unit is used for storing the user of the 3 D item and generating a picture of a state displaying the 3 D item for the user to select.</t>
  </si>
  <si>
    <t>1. An ER fitting reality metaverse platform three-dimensional platform 3 D pole speed editing system, wherein The system comprises: creating a work unit, the creating work unit for the user to create a type of the 3 D item by the instruction; editing the work unit, the editing work unit is connected with the creating work unit, the editing work unit is used for adding hot spot and scene light to the 3 D item, and setting the trigger condition of the hot spot; a preview work unit, the preview work unit is connected with the editing work unit, the preview work unit is used for presenting the editing work unit after editing the finished state of the 3 D item, a storage work unit, connected with the editing work unit and the preview work unit through the preset action action respectively the storage work unit is used for storing the user of the 3 D item and generating a picture of a state displaying the 3 D item for the user to select.2. The ER fitting reality metaverse platform three-dimensional platform 3 D pole speed editing system according to claim 1, wherein the user is created by instruction, comprising through selecting the 3 D item in the storage work unit, or by uploading the local file mode for editing the editing work unit.3. The ER fitting reality metaverse platform three-dimensional platform 3 D pole speed editing system according to claim 2, wherein After the hotspot behavior is added, the method includes: a first hot spot with three shafts, the first hot spot with three shafts is inserted at the position of the third D item through the front dialog box, the user drives the first hot spot with triaxial to move towards different directions by dragging the shaft of the first hot spot with three shafts; hot title frame, the hot title frame is located at one side of the 3 D item, the hot title frame input hotspot title trigger information is displayed at the front end content frame.4. The ER simulative real element universe platform 3 D pole speed editing system according to claim 3, wherein wherein one of the shafts of the first hot spot with three shafts is dragged, then the first hot spot with three shafts moves towards the dragging direction of the shaft, if two of the shafts of the first hot spot with three shafts are dragged, the first hot spot with three shafts moves towards the dragging direction of the two shafts.5. The ER fitting reality metaverse platform three-dimensional platform 3 D pole speed editing system according to claim 4, wherein The hotspot title includes a jump link, a display picture, a play video and a web page code.6. The ER fitting reality metaverse platform three-dimensional platform 3 D pole speed editing system according to claim 5, wherein the scene light comprises a light position and a light color, the adjusting light position comprises inserting a second hot spot with three axes, adjusting the light position by dragging different axes of the second hot spot of the three-axis of the triaxial.7. The ER simulative real element universe platform 3 D pole speed editing system according to claim 6, wherein the light color comprises a directional light source, point light source, ambient light and custom light source.8. The ER fitting real element universe platform 3 D pole speed editing system according to claim 7, wherein the preview work unit comprises a preview module and a modifying module, when the preview module is triggered, one end face of the 3 D item is displayed at the front end, the user can rotate to check the different end faces of the 3 D item by dragging way, when the modifying module is triggered, the preview work unit is switched to the editing work unit.9. The ER fitting reality metaverse platform three-dimensional platform 3 D pole speed editing system according to claim 1, wherein the action action is stored.</t>
  </si>
  <si>
    <t>Yu, Daxue|Pan, Pan|Yang, Nan|Ma, Bingqiang</t>
  </si>
  <si>
    <t>G06F0003011000 | G06F0003048600 | G06T0019000000</t>
  </si>
  <si>
    <t>G06F00301000 | G06F00304860 | G06T01900000</t>
  </si>
  <si>
    <t>CN114967932A</t>
  </si>
  <si>
    <t>CN114967932 A</t>
  </si>
  <si>
    <t>I-000229407717</t>
  </si>
  <si>
    <t>20 years from 2022-06-17 (file date)</t>
  </si>
  <si>
    <t>https://patentscout.innography.com/share/_on5k3uKliJhBiwJ-gXWFQ%3D%3D</t>
  </si>
  <si>
    <t>2022-08-30-PUBLICATION|2022-09-16-ENTRY INTO FORCE OF REQUEST FOR SUBSTANTIVE EXAMINATION</t>
  </si>
  <si>
    <t>https://patentscout.innography.com/share/_on5k3uKliJhBiwJ-gXWFQ%3D%3D/download</t>
  </si>
  <si>
    <t>https://v3.espacenet.com/publicationDetails/biblio?CC=CN&amp;NR=114967932A&amp;KC=A&amp;FT=D&amp;date=20220830&amp;DB=EPODOC&amp;locale=</t>
  </si>
  <si>
    <t>1.  1.  An ER fitting reality metaverse platform three-dimensional platform 3 D pole speed editing system, wherein The system comprises: creating a work unit, the creating work unit for the user to create a type of the 3 D item by the instruction; editing the work unit, the editing work unit is connected with the creating work unit, the editing work unit is used for adding hot spot and scene light to the 3 D item, and setting the trigger condition of the hot spot; a preview work unit, the preview work unit is connected with the editing work unit, the preview work unit is used for presenting the editing work unit after editing the finished state of the 3 D item, a storage work unit, connected with the editing work unit and the preview work unit through the preset action action respectively the storage work unit is used for storing the user of the 3 D item and generating a picture of a state displaying the 3 D item for the user to select.</t>
  </si>
  <si>
    <t>KR20090063063 A | KR20100104087 A | KR101808439 B1 | KR102180189 B1 | KR102253261 B1 | KR102328876 B1 | KR20170046023 A | KR20190082612 A | KR20200004135 A</t>
  </si>
  <si>
    <t>2022-06-21</t>
  </si>
  <si>
    <t>2042-06-21</t>
  </si>
  <si>
    <t>An apparatus according to an embodiment receives user information including one of specific model house information property information and area of interest information from a user terminal and selects a specific model house when the user information includes the specific model house information. Selected as a model house if the user information does not include specific model house information select an adoption model house based on the user information check whether a virtual model of the adoption model house is stored in the database and check whether the adoption model house If the virtual model is stored in the database a message guiding the wearing of the virtual environment providing device is transmitted to the user terminal and when it is confirmed that the user is wearing the virtual environment providing device the actual location of the adopted model house from the user terminal Acquiring location information including at least one of a floor and a lake acquiring current time information and weather information corresponding to the location information and using the location information time information and weather information Create a virtual space where the adoption model house is placed place the adoption model house in the virtual space using location information output the virtual space and adoption model house to the virtual environment providing device and obtain specific time information from the virtual environment providing device and receiving specific environment information including specific weather information and updating the virtual space based on the specific environment information.</t>
  </si>
  <si>
    <t>Method, device and system for providing model house experience service using metaverse environment</t>
  </si>
  <si>
    <t>KR20220075377A</t>
  </si>
  <si>
    <t>A method of providing a model house experience service using a metaverse environment, performed by a device, comprising: receiving user information including one of specific model house information, property information, and area of interest information from a user terminal; If the user information includes specific model house information, the specific model house is selected as an adopted model house, and when the user information does not include specific model house information, an adopted model house is selected based on the user information doing;checking whether a virtual model of the adopted model house is stored in a database;when the virtual model of the adopted model house is stored in the database, transmitting a message guiding wearing of the virtual environment providing device to the user terminal;obtaining location information including at least one of a real location, building, floor, and number of the adopted model house from the user terminal when it is confirmed that the user is wearing the virtual environment providing device;obtaining current time information and weather information corresponding to the location information;generating a virtual space in which the selected model house is placed using the location information, time information, and weather information;disposing the adopted model house in the virtual space by using the location information;outputting the virtual space and the adopted model house to the virtual environment providing device;receiving specific environment information including specific time information and specific weather information from the virtual environment providing device; updating the virtual space based on the specific environment information; and recommending and storing a housing object disposed in the adoption model house corresponding to the user, wherein selecting the adoption model house based on the user information is based on the area of interest and property information, extracting a model house corresponding to the user information; and selecting one of the extracted model houses as an adoption model house according to a priority input by the user, and if a virtual model of the adoption model house is not stored in the database, the adoption model house obtaining confirmation information of the selected model house including at least one of orientation information, equilibrium information, and average height of external buildings; and replacing, based on the confirmation information, a model house in which the confirmation information coincides with the adoption model house and a virtual model exists, with the adoption model house, and the housing object disposed in the adoption model house is replaced by the user. The step of recommending and storing in correspondence with the housing object arranged in the adopted model house and the space information in which the housing object is arranged is checked;outputting recommended housing object information to the virtual environment providing device by applying the housing object and the space information to a housing object database; and storing the housing object selected by the user as a library in an adoption model house where the housing object is placed, wherein the recommended housing object information includes an image of a post posted on the user's SNS account from the user information and A method of providing a model house experience service using a metaverse environment, wherein a user's preferred housing object is extracted by analyzing a post, and the recommended housing object information is determined using the preferred housing object.</t>
  </si>
  <si>
    <t>A method of providing a model house experience service using a metaverse environment, performed by a device, comprising: receiving user information including one of specific model house information, property information, and area of interest information from a user terminal; If the user information includes specific model house information, the specific model house is selected as an adopted model house, and when the user information does not include specific model house information, an adopted model house is selected based on the user information doing;checking whether a virtual model of the adopted model house is stored in a database;when the virtual model of the adopted model house is stored in the database, transmitting a message guiding wearing of the virtual environment providing device to the user terminal;obtaining location information including at least one of a real location, building, floor, and number of the adopted model house from the user terminal when it is confirmed that the user is wearing the virtual environment providing device;obtaining current time information and weather information corresponding to the location information;generating a virtual space in which the selected model house is placed using the location information, time information, and weather information;disposing the adopted model house in the virtual space by using the location information;outputting the virtual space and the adopted model house to the virtual environment providing device;receiving specific environment information including specific time information and specific weather information from the virtual environment providing device; updating the virtual space based on the specific environment information; and recommending and storing a housing object disposed in the adoption model house corresponding to the user, wherein selecting the adoption model house based on the user information is based on the area of interest and property information, extracting a model house corresponding to the user information; and selecting one of the extracted model houses as an adoption model house according to a priority input by the user, and if a virtual model of the adoption model house is not stored in the database, the adoption model house obtaining confirmation information of the selected model house including at least one of orientation information, equilibrium information, and average height of external buildings; and replacing, based on the confirmation information, a model house in which the confirmation information coincides with the adoption model house and a virtual model exists, with the adoption model house, and the housing object disposed in the adoption model house is replaced by the user. The step of recommending and storing in correspondence with the housing object arranged in the adopted model house and the space information in which the housing object is arranged is checked;outputting recommended housing object information to the virtual environment providing device by applying the housing object and the space information to a housing object database; and storing the housing object selected by the user as a library in an adoption model house where the housing object is placed, wherein the recommended housing object information includes an image of a post posted on the user's SNS account from the user information and A method of providing a model house experience service using a metaverse environment, wherein a user's preferred housing object is extracted by analyzing a post, and the recommended housing object information is determined using the preferred housing object.
delete
delete</t>
  </si>
  <si>
    <t>G06Q05008000 | G01W00106000 | G02B02701000 | G06F00301000 | G06Q05010000 | H04N01333200 | H04W00402000</t>
  </si>
  <si>
    <t>KR102475819B1</t>
  </si>
  <si>
    <t>KR102475819 B1</t>
  </si>
  <si>
    <t>I-000233564600</t>
  </si>
  <si>
    <t>20 years from 2022-06-21 (file date)</t>
  </si>
  <si>
    <t>https://patentscout.innography.com/share/-czwAYlDeJvw_3M5D7Z_2A%3D%3D</t>
  </si>
  <si>
    <t>2022-12-05-WRITTEN DECISION TO GRANT</t>
  </si>
  <si>
    <t>https://patentscout.innography.com/share/-czwAYlDeJvw_3M5D7Z_2A%3D%3D/download</t>
  </si>
  <si>
    <t>https://v3.espacenet.com/publicationDetails/biblio?CC=KR&amp;NR=102475819B1&amp;KC=B1&amp;FT=D&amp;date=20221208&amp;DB=EPODOC&amp;locale=</t>
  </si>
  <si>
    <t>KR20102475819 B1</t>
  </si>
  <si>
    <t>1.  A method of providing a model house experience service using a metaverse environment, performed by a device, comprising: receiving user information including one of specific model house information, property information, and area of interest information from a user terminal; If the user information includes specific model house information, the specific model house is selected as an adopted model house, and when the user information does not include specific model house information, an adopted model house is selected based on the user information doing;checking whether a virtual model of the adopted model house is stored in a database;when the virtual model of the adopted model house is stored in the database, transmitting a message guiding wearing of the virtual environment providing device to the user terminal;obtaining location information including at least one of a real location, building, floor, and number of the adopted model house from the user terminal when it is confirmed that the user is wearing the virtual environment providing device;obtaining current time information and weather information corresponding to the location information;generating a virtual space in which the selected model house is placed using the location information, time information, and weather information;disposing the adopted model house in the virtual space by using the location information;outputting the virtual space and the adopted model house to the virtual environment providing device;receiving specific environment information including specific time information and specific weather information from the virtual environment providing device; updating the virtual space based on the specific environment information; and recommending and storing a housing object disposed in the adoption model house corresponding to the user, wherein selecting the adoption model house based on the user information is based on the area of interest and property information, extracting a model house corresponding to the user information; and selecting one of the extracted model houses as an adoption model house according to a priority input by the user, and if a virtual model of the adoption model house is not stored in the database, the adoption model house obtaining confirmation information of the selected model house including at least one of orientation information, equilibrium information, and average height of external buildings; and replacing, based on the confirmation information, a model house in which the confirmation information coincides with the adoption model house and a virtual model exists, with the adoption model house, and the housing object disposed in the adoption model house is replaced by the user. The step of recommending and storing in correspondence with the housing object arranged in the adopted model house and the space information in which the housing object is arranged is checked;outputting recommended housing object information to the virtual environment providing device by applying the housing object and the space information to a housing object database; and storing the housing object selected by the user as a library in an adoption model house where the housing object is placed, wherein the recommended housing object information includes an image of a post posted on the user's SNS account from the user information and A method of providing a model house experience service using a metaverse environment, wherein a user's preferred housing object is extracted by analyzing a post, and the recommended housing object information is determined using the preferred housing object.</t>
  </si>
  <si>
    <t>2022-11-18</t>
  </si>
  <si>
    <t>2042-07-26</t>
  </si>
  <si>
    <t>An intelligent digital twinning metaverse method and platform for medical and healthcare and health and wellness big data knowledge graph comprising: a step of matching deal requirement and service; a step of customizing deal service entities; a step of constructing service knowledge graph of medical and healthcare and health and wellness; a step of constructing modern service metaverse of medical and healthcare and health and wellness. In the method system and robot by matching the service best matched the requirement through the knowledge graph and the capability of performing combination and modification and customization on the services of multiple institutions it then makes the service to be able to serve the requirement of the users at the greatest extent at the same time the knowledge graph and metaverse are used to make the medical and healthcare and health and wellness modern service to be more efficient.</t>
  </si>
  <si>
    <t>Intelligent digital twinning metaverse method and platform for medical and healthcare and health and wellness big data knowledge graph</t>
  </si>
  <si>
    <t>CN202210887782A</t>
  </si>
  <si>
    <t>1. An artificial intelligence method, wherein the method comprises the following steps: transaction requirement and service matching step: obtaining the transaction requirement of the user, as the transaction requirement entity of the user, according to the requirement of the user, matching the plurality of required entities of the user most matched with the transaction requirement in the medical care service knowledge graph, combining the plurality of required entities for multiple times and then matching with the transaction demand, obtaining the most matched plurality of combined requirement entity, selecting the requirement entity with the maximum matching degree from the plurality of requirement entity and the plurality of combined requirement entity; if the requirement entity with the maximum matching degree is the combined requirement entity, extracting each requirement entity in the combined requirement entity in the medical care service knowledge graph each corresponding service entity, as the service entity corresponding to the transaction requirement of the user; if the requirement entity with the maximum matching degree is the uncombined requirement entity, extracting the corresponding each service entity in the medical care service knowledge graph, as the transaction service entity corresponding to the transaction requirement of the user; the transaction service entity corresponding to the transaction requirement of the user is one or more; obtaining the service entity corresponding to the service entity corresponding to the transaction requirement of the user in the medical care service knowledge graph the transaction service entity corresponding to the transaction requirement of the user and the corresponding service mechanism thereof to the user; the transaction service entity customization step: receiving the modification feedback of the transaction service entity by the user, if the modification feedback is empty, then the transaction demand entity of the user, the transaction service entity of the user newly improving the medical care service knowledge graph and notifying the corresponding service mechanism providing the corresponding transaction service for the user; if the modification feedback is not empty, then notifying the corresponding service mechanism to modify the transaction service entity according to the modification feedback of the user, and the modified transaction service entity and the corresponding service mechanism thereof are sent to the user, and re-executing the step.</t>
  </si>
  <si>
    <t>1. An artificial intelligence method, wherein the method comprises the following steps: transaction requirement and service matching step: obtaining the transaction requirement of the user, as the transaction requirement entity of the user, according to the requirement of the user, matching the plurality of required entities of the user most matched with the transaction requirement in the medical care service knowledge graph, combining the plurality of required entities for multiple times and then matching with the transaction demand, obtaining the most matched plurality of combined requirement entity, selecting the requirement entity with the maximum matching degree from the plurality of requirement entity and the plurality of combined requirement entity; if the requirement entity with the maximum matching degree is the combined requirement entity, extracting each requirement entity in the combined requirement entity in the medical care service knowledge graph each corresponding service entity, as the service entity corresponding to the transaction requirement of the user; if the requirement entity with the maximum matching degree is the uncombined requirement entity, extracting the corresponding each service entity in the medical care service knowledge graph, as the transaction service entity corresponding to the transaction requirement of the user; the transaction service entity corresponding to the transaction requirement of the user is one or more; obtaining the service entity corresponding to the service entity corresponding to the transaction requirement of the user in the medical care service knowledge graph the transaction service entity corresponding to the transaction requirement of the user and the corresponding service mechanism thereof to the user; the transaction service entity customization step: receiving the modification feedback of the transaction service entity by the user, if the modification feedback is empty, then the transaction demand entity of the user, the transaction service entity of the user newly improving the medical care service knowledge graph and notifying the corresponding service mechanism providing the corresponding transaction service for the user; if the modification feedback is not empty, then notifying the corresponding service mechanism to modify the transaction service entity according to the modification feedback of the user, and the modified transaction service entity and the corresponding service mechanism thereof are sent to the user, and re-executing the step.2. The artificial intelligence according to claim 1, wherein the method comprises the following steps: digital twinning model constructing step: constructing a plurality of mechanism entities, a plurality of user entities, a plurality of service entities, a plurality of demand entities, a general demand entity, a general service entity, a general user entity, a plurality of mechanism entity digital twinning models corresponding to the relationship among the entities, a plurality of user entity digital twinning models, a plurality of service entity digital twinning model, a plurality of demand entity digital twinning model, general demand entity digital twinning model, general service entity digital twinning model and relationship between these entity digital twinning model; constructing a user entity digital twinning model based on the general user entity digital twinning model; constructing a mechanism entity digital twinning model based on the general mechanism entity digital twinning model; constructing a demand entity digital twinning model based on the general demand entity digital twinning model; constructing a service entity digital twinning model based on the general service entity digital twinning model; digital twinning model customizing step: sending the general user entity digital twinning model and the general demand entity digital twinning model to the user, as the user entity digital twinning model of the user and the demand entity digital twinborn model; receiving the modification intention of the user entity digital twinning model and demand entity digital twinning model, if the modification intention is not empty, then receiving the modification of the user entity digital twinning model and the demand entity digital twinning model according to the modification intention, sending the modified user entity digital twinning model and demand entity digital twinning model to the user, repeating the steps until the modification intention is empty; sending the general mechanism entity digital twinning model and the general service entity digital twinning model to the mechanism, as the mechanism entity digital twinning model and service entity digital twinning model of the mechanism; receiving the modification intention of the mechanism entity digital twinning model and service entity digital twinning model, if the modification intention is not empty, then receiving the engineer according to the modification of the modification intention to the mechanism entity digital twinning model and service entity digital twinning model, sending the modified mechanism entity digital twinning model and service entity digital twinning model to the mechanism, repeating the step until the modification intention is empty.3. The artificial intelligence according to claim 1, wherein the method further comprises: transaction service entity digital twinning model customization step: sending the service entity digital twinning model of the mechanism to the mechanism, as the transaction service entity digital twinning model of the mechanism; receiving the modification intention of the transaction service entity digital twinning model by the mechanism, if the modification intention is not empty, receiving the modification of the transaction service entity digital twinning model according to the modification intention by the engineer, sending the modified transaction service entity digital twinning model to the mechanism, repeating the step, until the modification intention is empty; transaction service entity digital twinning model updating step: obtaining the real-time service data of the transaction service entity, the transaction service entity corresponding to the user entity, a mechanism entity, the latest time step service data and the latest transaction service entity digital twinning model as the input of the twinning update deep learning model, by calculating the output as the latest transaction service entity digital twinning model, repeating the step according to a certain time step length; Constructing step of the twinning update deep learning model obtaining a user entity and a mechanism entity corresponding to the transaction service entity, time step length internal service data and transaction service entity digital twinning model when the time step length starts, as input of the twinning update deep learning model, transaction service entity digital twinning model when the time step length is over, as expected output of twinning update deep learning model and training and testing the twinning update deep learning model4. The artificial intelligence according to claim 1, wherein the method comprises: A medical care service knowledge graph the following steps: obtaining data of medical care mechanism of medical and health care modern service industry, data of medical care user, medical care transaction service data, obtaining mechanism entity from data of medical care mechanism, service entity, supply relation of mechanism and service, obtaining user entity and demand entity from data of medical care user, the requirement relationship between the user and the requirement, matching the service entity and the requirement entity, forming the matching relation between the service entity and the requirement entity; obtaining the service providing mechanism entity from the medical care transaction service data, receiving the service user entity, the supply and demand relationship between the mechanism entity and the user entity, the transaction service entity in the transaction service, the supply relationship between the mechanism entity and the transaction service entity, the requirement relationship between the user entity and the transaction demand entity, the matching relationship between the transaction service entity and the transaction demand entity, the inheritance relationship between the transaction service entity and the service entity, the inheritance relationship between the transaction demand entity and the demand entity; there are a plurality of mechanism entities, a plurality of user entities, a plurality of service entities, a plurality of demand entities, a plurality of transaction service entities, a plurality of transaction demand entities, a universal user entity, a general purpose entity, a general demand entity, a general service entity and the relationship between these entities, forming a medical care service knowledge graph The step of constructing the universe of the modern service of the medical and health care: the user entity digital twinning model, mechanism entity digital twinning model, service entity digital twinning model, demand entity digital twinning model, transaction service entity digital twinning model, demand service entity digital twinned model is added to the medicine and health care modern service element universe.5. The system artificial intelligence to claim 1, wherein the system comprises: transaction demand and service matching module: obtaining the transaction requirement of the user, as the transaction requirement entity of the user, according to the requirement of the user, matching the plurality of required entities of the user most matched with the transaction requirement in the medical care service knowledge graph, combining the plurality of required entities for multiple times and then matching with the transaction demand, obtaining the most matched plurality of combined requirement entity, selecting the requirement entity with the maximum matching degree from the plurality of requirement entity and the plurality of combined requirement entity; if the requirement entity with the maximum matching degree is the combined requirement entity, extracting each requirement entity in the combined requirement entity in the medical care service knowledge graph each corresponding service entity, as the service entity corresponding to the transaction requirement of the user; if the requirement entity with the maximum matching degree is the uncombined requirement entity, extracting the corresponding each service entity in the medical care service knowledge graph, as the transaction service entity corresponding to the transaction requirement of the user; the transaction service entity corresponding to the transaction requirement of the user is one or more; obtaining the service entity corresponding to the service entity corresponding to the transaction requirement of the user in the medical care service knowledge graph the transaction service entity corresponding to the transaction requirement of the user and the corresponding service mechanism thereof to the user; a transaction service entity customization module: receiving the modification feedback of the transaction service entity by the user, if the modification feedback is empty, then the transaction demand entity of the user, the transaction service entity of the user newly improving the medical care service knowledge graph and notifying the corresponding service mechanism providing the corresponding transaction service for the user; if the modification feedback is not empty, then notifying the corresponding service mechanism to modify the transaction service entity according to the modification feedback of the user, and modifying the transaction service entity and the corresponding service mechanism to send to the user, re-executing the module.6. The artificial intelligence system according to claim 5, wherein the system comprises: digital twinning model constructing module: constructing a plurality of mechanism entities, a plurality of user entities, a plurality of service entities, a plurality of demand entities, a general demand entity, a general service entity, a general user entity, a plurality of mechanism entity digital twinning models corresponding to the relationship among the entities, a plurality of user entity digital twinning models, a plurality of service entity digital twinning model, a plurality of demand entity digital twinning model, general demand entity digital twinning model, general service entity digital twinning model and relationship between these entity digital twinning model; constructing a user entity digital twinning model based on the general user entity digital twinning model; constructing a mechanism entity digital twinning model based on the general mechanism entity digital twinning model; constructing a demand entity digital twinning model based on the general demand entity digital twinning model; constructing a service entity digital twinning model based on the general service entity digital twinning model; a digital twinning model customizing module: sending the general user entity digital twinning model and the general demand entity digital twinning model to the user, as the user entity digital twinning model of the user and the demand entity digital twinborn model; receiving the modification intention of the user entity digital twinning model and demand entity digital twinning model, if the modification intention is not empty, then receiving the modification of the user entity digital twinning model and the demand entity digital twinning model according to the modification intention, sending the modified user entity digital twinning model and demand entity digital twinning model to the user, repeating the module until the modification intention is empty; sending the general mechanism entity digital twinning model and the general service entity digital twinning model to the mechanism, as the mechanism entity digital twinning model and service entity digital twinning model of the mechanism; receiving the modification intention of the mechanism entity digital twinning model and service entity digital twinning model, if the modification intention is not empty, then receiving the engineer according to the modification of the modification intention to the mechanism entity digital twinning model and service entity digital twinning model, sending the modified mechanism entity digital twinning model and service entity digital twinning model to the mechanism, repeating the module until the modification intention is empty.7. The artificial intelligence system according to claim 5, wherein the system further comprises: transaction service entity digital twinning model customization module: sending the service entity digital twinning model of the mechanism to the mechanism, as the transaction service entity digital twinning model of the mechanism; receiving the mechanism to modify the transaction service entity digital twinning model, if the modification intention is not empty, then receiving the modification of the transaction service entity digital twinning model according to the modification intention by the engineer, sending the modified transaction service entity digital twinning model to the mechanism, repeating the module, until the modification intention is empty; The transaction service entity digital twinning model updating module: obtaining the real-time service data of the transaction service entity, the transaction service entity corresponding to the user entity, a mechanism entity, the latest time step service data and the latest transaction service entity digital twinning model as the input of the twinning update deep learning model, by calculating the output as the latest transaction service entity digital twinning model, repeating the module according to a certain time step length; Construction module of twinning update deep learning model obtaining a user entity and a mechanism entity corresponding to the transaction service entity, time step length internal service data and transaction service entity digital twinning model when the time step length starts, as input of the twinning update deep learning model, transaction service entity digital twinning model when the time step length is over, as expected output of twinning update deep learning model and training and testing the twinning update deep learning model8. The artificial intelligence system according to claim 5, wherein the system comprises: A medical care service knowledge graph constructing module: obtaining data of medical care mechanism of medical and health care modern service industry, data of medical care user, medical care transaction service data, obtaining mechanism entity from data of medical care mechanism, service entity, supply relation of mechanism and service, obtaining user entity and demand entity from data of medical care user, the requirement relationship between the user and the requirement, matching the service entity and the requirement entity, forming the matching relation between the service entity and the requirement entity; obtaining the service providing mechanism entity from the medical care transaction service data, receiving the service user entity, the supply and demand relationship between the mechanism entity and the user entity, the transaction service entity in the transaction service, the supply relationship between the mechanism entity and the transaction service entity, the requirement relationship between the user entity and the transaction demand entity, the matching relationship between the transaction service entity and the transaction demand entity, the inheritance relationship between the transaction service entity and the service entity, the inheritance relationship between the transaction demand entity and the demand entity; there are a plurality of mechanism entities, a plurality of user entities, a plurality of service entities, a plurality of demand entities, a plurality of transaction service entities, a plurality of transaction demand entities, a universal user entity, a general purpose entity, a general demand entity, a general service entity and the relationship between these entities, forming a medical care service knowledge graph Medicine and health care modern service element universe building module: the user entity digital twinning model, mechanism entity digital twinning model, service entity digital twinning model, demand entity digital twinning model, transaction service entity digital twinning model, demand service entity digital twinned model is added to the medicine and health care modern service element universe.9. A health preserving system for medical health, comprising a medical care system, wherein the medical care system executes the steps of the method according to any one of claims 1-4.10. A computer readable storage medium, on which a computer program is stored, wherein the program is executed by a processor to implement the steps of the method according to any one of claims 1-4.</t>
  </si>
  <si>
    <t>G06Q05010000 | G06F01636000</t>
  </si>
  <si>
    <t>CN115358892A</t>
  </si>
  <si>
    <t>CN115358892 A</t>
  </si>
  <si>
    <t>I-000232296476</t>
  </si>
  <si>
    <t>20 years from 2022-07-26 (file date)</t>
  </si>
  <si>
    <t>https://patentscout.innography.com/share/GE7MRqnU2xrQ0-arHDpNZA%3D%3D</t>
  </si>
  <si>
    <t>2022-11-18-PUBLICATION|2022-12-06-ENTRY INTO FORCE OF REQUEST FOR SUBSTANTIVE EXAMINATION</t>
  </si>
  <si>
    <t>https://patentscout.innography.com/share/GE7MRqnU2xrQ0-arHDpNZA%3D%3D/download</t>
  </si>
  <si>
    <t>https://v3.espacenet.com/publicationDetails/biblio?CC=CN&amp;NR=115358892A&amp;KC=A&amp;FT=D&amp;date=20221118&amp;DB=EPODOC&amp;locale=</t>
  </si>
  <si>
    <t>1.  1.  An artificial intelligence method, wherein the method comprises the following steps: transaction requirement and service matching step: obtaining the transaction requirement of the user, as the transaction requirement entity of the user, according to the requirement of the user, matching the plurality of required entities of the user most matched with the transaction requirement in the medical care service knowledge graph, combining the plurality of required entities for multiple times and then matching with the transaction demand, obtaining the most matched plurality of combined requirement entity, selecting the requirement entity with the maximum matching degree from the plurality of requirement entity and the plurality of combined requirement entity; if the requirement entity with the maximum matching degree is the combined requirement entity, extracting each requirement entity in the combined requirement entity in the medical care service knowledge graph each corresponding service entity, as the service entity corresponding to the transaction requirement of the user; if the requirement entity with the maximum matching degree is the uncombined requirement entity, extracting the corresponding each service entity in the medical care service knowledge graph, as the transaction service entity corresponding to the transaction requirement of the user; the transaction service entity corresponding to the transaction requirement of the user is one or more; obtaining the service entity corresponding to the service entity corresponding to the transaction requirement of the user in the medical care service knowledge graph the transaction service entity corresponding to the transaction requirement of the user and the corresponding service mechanism thereof to the user; the transaction service entity customization step: receiving the modification feedback of the transaction service entity by the user, if the modification feedback is empty, then the transaction demand entity of the user, the transaction service entity of the user newly improving the medical care service knowledge graph and notifying the corresponding service mechanism providing the corresponding transaction service for the user; if the modification feedback is not empty, then notifying the corresponding service mechanism to modify the transaction service entity according to the modification feedback of the user, and the modified transaction service entity and the corresponding service mechanism thereof are sent to the user, and re-executing the step.</t>
  </si>
  <si>
    <t>According to the present invention the apparel product seller provides a product to be sold an avatar mirrored on the customer&amp;#39;s actual object and a immersive space that meets the purpose of using the product and the customer manipulates the avatar provided by the seller to experience the immersive product in the immersive space. The purpose is to improve purchase satisfaction by doing so. In order to achieve this object the present invention consists of a product unit an avatar unit and a sensory experience unit. The product unit displays products and displays product information stores customer evaluations and the avatar unit responds to customer image information to provide customer characteristics. It is configured to be transformed in real time by reflecting the product and the purpose is to help the customer make a reasonable judgment about product purchase by manipulating the avatar to experience the product in a realistic space..</t>
  </si>
  <si>
    <t>A clothing product sales system linked to a metaverse server with an avatar, and its device</t>
  </si>
  <si>
    <t>KR20210064486A</t>
  </si>
  <si>
    <t>with the metaverse server;A customer who connects to the server using a smartphone or computer, transmits image information, and experiences reality using a VR device;a product unit provided in the server and displaying products;an avatar unit provided in the server and displaying an avatar;a sensory experience unit configured in the server to supply a sensory field;A clothing product sales system linked to a metaverse server having a mirroring avatar, characterized in that it is a product sales device configured in the server and composed of an interface unit for posting products, avatars, and immersive space to customers, and its chapter.</t>
  </si>
  <si>
    <t>with the metaverse server;A customer who connects to the server using a smartphone or computer, transmits image information, and experiences reality using a VR device;a product unit provided in the server and displaying products;an avatar unit provided in the server and displaying an avatar;a sensory experience unit configured in the server to supply a sensory field;A clothing product sales system linked to a metaverse server having a mirroring avatar, characterized in that it is a product sales device configured in the server and composed of an interface unit for posting products, avatars, and immersive space to customers, and its chapter.
The avatar according to claim 1, wherein the avatar unit comprises an avatar production unit that produces and displays avatars in accordance with product usage characteristics, and transforms and manufactures avatars in real time to conform to customer's external characteristics in response to customer's image information. wealth</t>
  </si>
  <si>
    <t>G06Q0030064300</t>
  </si>
  <si>
    <t>G06Q0030064300 | G06T0013400000 | G06T2207202210</t>
  </si>
  <si>
    <t>G06Q03006000 | G06T01340000</t>
  </si>
  <si>
    <t>KR20220157005A</t>
  </si>
  <si>
    <t>KR20220157005 A</t>
  </si>
  <si>
    <t>I-000233023864</t>
  </si>
  <si>
    <t>https://patentscout.innography.com/share/X5gWevS5DZb2LY0Ew5eWTg%3D%3D</t>
  </si>
  <si>
    <t>2022-12-03-NOTIFICATION OF REASON FOR REFUSAL|2022-12-12-NOTIFICATION OF REASON FOR REFUSAL</t>
  </si>
  <si>
    <t>https://patentscout.innography.com/share/X5gWevS5DZb2LY0Ew5eWTg%3D%3D/download</t>
  </si>
  <si>
    <t>https://v3.espacenet.com/publicationDetails/biblio?CC=KR&amp;NR=20220157005A&amp;KC=A&amp;FT=D&amp;date=20221129&amp;DB=EPODOC&amp;locale=</t>
  </si>
  <si>
    <t>1.  with the metaverse server;A customer who connects to the server using a smartphone or computer, transmits image information, and experiences reality using a VR device;a product unit provided in the server and displaying products;an avatar unit provided in the server and displaying an avatar;a sensory experience unit configured in the server to supply a sensory field;A clothing product sales system linked to a metaverse server having a mirroring avatar, characterized in that it is a product sales device configured in the server and composed of an interface unit for posting products, avatars, and immersive space to customers, and its chapter.</t>
  </si>
  <si>
    <t>The invention claims a metaverse digital twin system the system comprises a user module an application module a digital space module and an intelligent analysis deduction module the user module comprises a user interface and a crowd identification classification the digital space module comprises a digital interactive service a digital twin service a digital applicable service data resource and data information infrastructure the intelligent analysis deduction module comprises data collection analysis comparison and future model deduction construction according to the user data analysis comparison deducting more suitable and optimized development direction for the user in the future so as to perform digital virtual display the user can perform analysis and judgement according to the virtual display combined with the actual results and future model deduction construction can also according to collection of various urban user information make a reasonable planning and construction for the future development of the city and the model components in the metaverse can be used for avoiding many possible presence of errors and wrong directions in the development in advance which is beneficial to the development process of the city.</t>
  </si>
  <si>
    <t>Metaverse digital twin system</t>
  </si>
  <si>
    <t>Beijing Jiulingshidai Movie And Television Media Co., Ltd.</t>
  </si>
  <si>
    <t>BEIJING JIULINGSHIDAI MOVIE AND TELEVISION MEDIA CO., LTD.</t>
  </si>
  <si>
    <t>CN202210196081A</t>
  </si>
  <si>
    <t>1. A universe digital twinning system, wherein The system comprises a user module, an application module, a digital space module and an intelligent analysis deducing module, the user module comprises a user interface and a crowd identification classification, the digital space module comprises a digital interactive service, digital twinning service, digital application service, data resource and data information infrastructure, the intelligent analysis deducing module comprises a data collection, analyzing and comparing and future model deducing construction.</t>
  </si>
  <si>
    <t>1. A universe digital twinning system, wherein The system comprises a user module, an application module, a digital space module and an intelligent analysis deducing module, the user module comprises a user interface and a crowd identification classification, the digital space module comprises a digital interactive service, digital twinning service, digital application service, data resource and data information infrastructure, the intelligent analysis deducing module comprises a data collection, analyzing and comparing and future model deducing construction.2. The universe digital twinning system according to claim 1, wherein the user interface is using network transmission technology, the user information is transmitted to the universe system platform, so as to utilize the data analysis system for crowd identification and classification.3. The universe digital twinning system according to claim 1, wherein the digital interaction service refers to the virtual interaction and entity interaction, using network technology to transmit the entity data information to the universe system platform, so as to the data information through virtual world record interaction, digital, networking and sharing.4. The universe digital twinning system according to claim 1, wherein the digital twinning service uses physical model, sensor updating, operation history data, integrating multiple subjects, multi-physical quantity, multi-scale, multi-probability simulation process, finishing the mapping in the virtual space, so as to reflect the whole life cycle process of the corresponding entity equipment, digital twinning through design tool, simulation tool, internet of things, virtual reality and various digitalization means, mapping each attribute of the physical device to the virtual space, forming a detachable, replicable, transferable, capable of modifying, deleting, The digital mirror image can be repeatedly operated, which is very large accelerating understand the physical operating personnel which can make many original physical condition limit, must depend on the real physical entity and cannot be finished, such as simulation simulation, batch copy, virtual assembly and so on, a tool for touch and so on.5. The universe digital twinning system according to claim 1, wherein the digital application service, the system will automatically identify the information, then analyzing and identifying to obtain the digital information suitable for it, the digital information utilization is more accurate and convenient.6. The universe digital twinning system according to claim 1, wherein the intelligent analysis deducing module comprises data collection, analyzing and comparing and future model deducing construction, using the data collecting system to the user digital twinborn to the virtual data in the universe, then collecting and classifying, then obtaining the behaviour habit and suitable development direction of different users by analyzing and comparing, and then constructing by future model, according to the user data analysis comparison, deducting more suitable and optimized development direction for the user in the future, so as to perform digital virtual display, the user can perform analysis and judgement according to the virtual display combined with the actual results, and future model deduction construction can also, according to collection of various urban user information, according to various user information habits and so on, make reasonable planning construction to the future development of the city, so as to present in the universe through the mode of the model.</t>
  </si>
  <si>
    <t>Gu, Weidong</t>
  </si>
  <si>
    <t>G06F0030200000</t>
  </si>
  <si>
    <t>G06F0030200000 | Y02A0030600000</t>
  </si>
  <si>
    <t>CN114722565A</t>
  </si>
  <si>
    <t>$8050</t>
  </si>
  <si>
    <t>CN114722565 A</t>
  </si>
  <si>
    <t>I-000227375168</t>
  </si>
  <si>
    <t>https://patentscout.innography.com/share/A6mV-ju7mBaM-vE4u7Xrzw%3D%3D</t>
  </si>
  <si>
    <t>2022-07-08-PUBLICATION|2022-07-26-ENTRY INTO FORCE OF REQUEST FOR SUBSTANTIVE EXAMINATION</t>
  </si>
  <si>
    <t>https://patentscout.innography.com/share/A6mV-ju7mBaM-vE4u7Xrzw%3D%3D/download</t>
  </si>
  <si>
    <t>https://v3.espacenet.com/publicationDetails/biblio?CC=CN&amp;NR=114722565A&amp;KC=A&amp;FT=D&amp;date=20220708&amp;DB=EPODOC&amp;locale=</t>
  </si>
  <si>
    <t>1.  1.  A universe digital twinning system, wherein The system comprises a user module, an application module, a digital space module and an intelligent analysis deducing module, the user module comprises a user interface and a crowd identification classification, the digital space module comprises a digital interactive service, digital twinning service, digital application service, data resource and data information infrastructure, the intelligent analysis deducing module comprises a data collection, analyzing and comparing and future model deducing construction.</t>
  </si>
  <si>
    <t>product distribution|livestock products|product distribution system|order information|time point|signal|prediction information</t>
  </si>
  <si>
    <t>KR20220098469A</t>
  </si>
  <si>
    <t>by the order analysis module, receive a plurality of order information from the first client, and analyze the plurality of order information, wherein the plurality of order information includes first order information, second order information, and the plurality of orders The information includes information corresponding to each order time, order product, order quantity, and order price, and stores the first order information and the second order information by a database, and by the order analysis module, the first at a time point, receive the first order information from the first client, and at a second time point subsequent to the first time point, receive the second order information from the first client, the first order information and the On the basis of the second order information, generating and storing the first order prediction information including the analysis result regarding the order possibility and the order prediction time of the first client in the database, The first order prediction information includes a first order prediction section having a third time point following the second time point as a start time and a fourth time point following the third time point as an end time, and the first order Based on whether the third order information is received from the first client in the expected section, the method comprising determining whether to generate the notification signal, a neural network-based livestock distribution service method.</t>
  </si>
  <si>
    <t>I-000229597030</t>
  </si>
  <si>
    <t>https://patentscout.innography.com/share/xYB056vPsUI6AVEGadi74Q%3D%3D</t>
  </si>
  <si>
    <t>https://patentscout.innography.com/share/xYB056vPsUI6AVEGadi74Q%3D%3D/download</t>
  </si>
  <si>
    <t>https://v3.espacenet.com/publicationDetails/biblio?CC=KR&amp;NR=20220118363A&amp;KC=A&amp;FT=D&amp;date=20220825&amp;DB=EPODOC&amp;locale=</t>
  </si>
  <si>
    <t>1.  by the order analysis module, receive a plurality of order information from the first client, and analyze the plurality of order information, wherein the plurality of order information includes first order information, second order information, and the plurality of orders The information includes information corresponding to each order time, order product, order quantity, and order price, and stores the first order information and the second order information by a database, and by the order analysis module, the first at a time point, receive the first order information from the first client, and at a second time point subsequent to the first time point, receive the second order information from the first client, the first order information and the On the basis of the second order information, generating and storing the first order prediction information including the analysis result regarding the order possibility and the order prediction time of the first client in the database, The first order prediction information includes a first order prediction section having a third time point following the second time point as a start time and a fourth time point following the third time point as an end time, and the first order Based on whether the third order information is received from the first client in the expected section, the method comprising determining whether to generate the notification signal, a neural network-based livestock distribution service method.</t>
  </si>
  <si>
    <t>KR101923723 B1 | KR20220014052 A | US20110078052 A1</t>
  </si>
  <si>
    <t>2022-08-19</t>
  </si>
  <si>
    <t>A service apparatus according to an embodiment of the present invention includes the steps of providing a metaverse space in which a user can access and perform an activity in a virtual space; obtaining information about the real moving device owned by the user; issuing a unique token for specifying the mobile device based on the information on the mobile device or storing information on a token previously issued for the mobile device; And by activating a smart contract including a predetermined protocol for the token transfer an operation of relaying a token transaction linked with the mobile device in the metaverse space may be performed.</t>
  </si>
  <si>
    <t>Apparatus method and computer-readable storage medium for providing metaverse service for trading token identifying vehicle based on blockchain</t>
  </si>
  <si>
    <t>Wrightbrothers Co., Ltd.</t>
  </si>
  <si>
    <t>WRIGHTBROTHERS CO., LTD.</t>
  </si>
  <si>
    <t>KR20220025700A</t>
  </si>
  <si>
    <t>Kim, Hee Soo|Ha, Jeong Yoon</t>
  </si>
  <si>
    <t>G06Q05010000 | G06F02144000 | G06Q02002000 | G06Q02006000 | G06Q02010000 | G06Q02012000 | G06Q03006000</t>
  </si>
  <si>
    <t>KR102434060B1</t>
  </si>
  <si>
    <t>KR102434060 B1</t>
  </si>
  <si>
    <t>I-000229600391</t>
  </si>
  <si>
    <t>https://patentscout.innography.com/share/f0Q0A_hgCSxVc9T5wem70Q%3D%3D</t>
  </si>
  <si>
    <t>2022-08-10-DECISION TO GRANT OR REGISTRATION OF PATENT RIGHT|2022-08-16-WRITTEN DECISION TO GRANT</t>
  </si>
  <si>
    <t>https://patentscout.innography.com/share/f0Q0A_hgCSxVc9T5wem70Q%3D%3D/download</t>
  </si>
  <si>
    <t>https://v3.espacenet.com/publicationDetails/biblio?CC=KR&amp;NR=102434060B1&amp;KC=B1&amp;FT=D&amp;date=20220819&amp;DB=EPODOC&amp;locale=</t>
  </si>
  <si>
    <t>KR20102434060 B1</t>
  </si>
  <si>
    <t>KR101785911 B1 | KR101792842 B1 | KR102050799 B1 | KR102219367 B1 | KR102389256 B1</t>
  </si>
  <si>
    <t>2022-09-29</t>
  </si>
  <si>
    <t>2042-06-24</t>
  </si>
  <si>
    <t>The device according to an embodiment obtains exhibition participant information and exhibition product information from an exhibition participant terminal creates a virtual booth based on the exhibition product information and uses the generated virtual booth based on the exhibition participant information. When placed in a virtual space the virtual space in which the virtual booth is arranged is output so that the user is located at the entrance of the virtual space through the virtual environment providing device and the user selects an exhibition product in the virtual booth through the virtual environment providing device At least one of a promotional image a demonstration image a utilization image and specification information of an exhibition product is output near the exhibition product and information on the selected exhibition product is transmitted to a user terminal connected to a virtual environment providing device.</t>
  </si>
  <si>
    <t>Method, device and system for providing exhibition platform service based on metaverse environment</t>
  </si>
  <si>
    <t>Rabbit Co., Ltd.</t>
  </si>
  <si>
    <t>Rabbit Photo</t>
  </si>
  <si>
    <t>KR20220077443A</t>
  </si>
  <si>
    <t>A method for providing an exhibition platform service based on a metaverse environment, performed by an apparatus, the method comprising: acquiring exhibition participant information and exhibition product information from an exhibition participant terminal;generating a virtual booth based on the exhibition product information;arranging the created virtual booth in a virtual space based on the exhibition participant information;outputting the virtual space in which the virtual booth is arranged so that the user is located at the entrance of the virtual space through a virtual environment providing device;when the user selects an exhibition product in the virtual booth through the virtual environment providing device, outputting at least one of a promotional image, a demonstration image, a utilization image, and specification information of the exhibition product near the exhibition product;transmitting information on the selected exhibition product to a user terminal connected to the virtual environment providing device; and collecting data according to the user's activity and providing it to the terminal of the exhibition participating company, wherein, based on the exhibition product information, the step of creating a virtual booth is based on the exhibition product information, the virtual booth acquiring the size and number of exhibited products to be displayed in the.and setting the size of the virtual booth by using the size and number of the exhibition products, and arranging the created virtual booth in a virtual space based on the exhibition participant information includes: Collecting related posting materials, where the posting materials include materials posted on SNS including articles, blogs, Instagram, and the like;generating a recognition map corresponding to the exhibition participating company based on the number of the posted materials;determining whether the recognition level is greater than a preset first reference value;arranging the virtual booth of the exhibitor in a first area, the first area being the farthest from the door, if it is determined that the recognition is greater than the first reference value;determining whether the recognition level is greater than a preset second reference value when it is determined that the level of recognition is smaller than the first reference value;When it is determined that the recognition is greater than the second reference value, the virtual booth of the exhibitor is placed in a second zone - the zone where the second zone is closer to the door than the first zone and further away from the door than the third zone. placing;arranging the virtual booth of the exhibitor in a third area, the third area being the area closest to the door, if it is determined that the recognition is smaller than the second reference value;and updating the arrangement of the virtual booths based on the number of selections of the exhibited products, wherein the updating of the arrangement of the virtual booths includes checking the number of selections of exhibited products for each virtual booth, and exhibiting a large number of selections. The step of arranging a virtual booth displaying a product adjacent to the door, and the step of collecting data according to the user's activity and providing the data to the terminal of the exhibitor includes: checking the number of visitors to the virtual booth;checking the number of times exhibited products in the virtual booth are selected;selecting an exhibition product having the highest number of times selected as a core product, and extracting the number of times the core product is selected;generating a degree of interest in the core product by calculating the number of times the core product is selected relative to the number of visitors to the virtual booth;generating, as a group, exhibition products in which the selected number of times is greater than a preset target value;generating a marketing strategy by analyzing common characteristics of exhibited products included in the group; generating a report including the core product, the degree of interest of the core product, and the marketing strategy;A method of providing an exhibition platform service based on a metaverse environment, comprising the step of transmitting the generated report to the terminal of the exhibition participating company.</t>
  </si>
  <si>
    <t>A method for providing an exhibition platform service based on a metaverse environment, performed by an apparatus, the method comprising: acquiring exhibition participant information and exhibition product information from an exhibition participant terminal;generating a virtual booth based on the exhibition product information;arranging the created virtual booth in a virtual space based on the exhibition participant information;outputting the virtual space in which the virtual booth is arranged so that the user is located at the entrance of the virtual space through a virtual environment providing device;when the user selects an exhibition product in the virtual booth through the virtual environment providing device, outputting at least one of a promotional image, a demonstration image, a utilization image, and specification information of the exhibition product near the exhibition product;transmitting information on the selected exhibition product to a user terminal connected to the virtual environment providing device; and collecting data according to the user's activity and providing it to the terminal of the exhibition participating company, wherein, based on the exhibition product information, the step of creating a virtual booth is based on the exhibition product information, the virtual booth acquiring the size and number of exhibited products to be displayed in the.and setting the size of the virtual booth by using the size and number of the exhibition products, and arranging the created virtual booth in a virtual space based on the exhibition participant information includes: Collecting related posting materials, where the posting materials include materials posted on SNS including articles, blogs, Instagram, and the like;generating a recognition map corresponding to the exhibition participating company based on the number of the posted materials;determining whether the recognition level is greater than a preset first reference value;arranging the virtual booth of the exhibitor in a first area, the first area being the farthest from the door, if it is determined that the recognition is greater than the first reference value;determining whether the recognition level is greater than a preset second reference value when it is determined that the level of recognition is smaller than the first reference value;When it is determined that the recognition is greater than the second reference value, the virtual booth of the exhibitor is placed in a second zone - the zone where the second zone is closer to the door than the first zone and further away from the door than the third zone. placing;arranging the virtual booth of the exhibitor in a third area, the third area being the area closest to the door, if it is determined that the recognition is smaller than the second reference value;and updating the arrangement of the virtual booths based on the number of selections of the exhibited products, wherein the updating of the arrangement of the virtual booths includes checking the number of selections of exhibited products for each virtual booth, and exhibiting a large number of selections. The step of arranging a virtual booth displaying a product adjacent to the door, and the step of collecting data according to the user's activity and providing the data to the terminal of the exhibitor includes: checking the number of visitors to the virtual booth;checking the number of times exhibited products in the virtual booth are selected;selecting an exhibition product having the highest number of times selected as a core product, and extracting the number of times the core product is selected;generating a degree of interest in the core product by calculating the number of times the core product is selected relative to the number of visitors to the virtual booth;generating, as a group, exhibition products in which the selected number of times is greater than a preset target value;generating a marketing strategy by analyzing common characteristics of exhibited products included in the group; generating a report including the core product, the degree of interest of the core product, and the marketing strategy;A method of providing an exhibition platform service based on a metaverse environment, comprising the step of transmitting the generated report to the terminal of the exhibition participating company.
delete
delete</t>
  </si>
  <si>
    <t>Yoon, Dong Hyun</t>
  </si>
  <si>
    <t>G06Q05010000 | G02B02701000 | G06Q03002000 | G06T01900000 | G06T01920000</t>
  </si>
  <si>
    <t>KR102449202B1</t>
  </si>
  <si>
    <t>KR102449202 B1</t>
  </si>
  <si>
    <t>I-000230849788</t>
  </si>
  <si>
    <t>20 years from 2022-06-24 (file date)</t>
  </si>
  <si>
    <t>https://patentscout.innography.com/share/fgKiqN8icgT2T6ZPhaCNbg%3D%3D</t>
  </si>
  <si>
    <t>2022-09-20-DECISION TO GRANT OR REGISTRATION OF PATENT RIGHT|2022-09-26-WRITTEN DECISION TO GRANT</t>
  </si>
  <si>
    <t>https://patentscout.innography.com/share/fgKiqN8icgT2T6ZPhaCNbg%3D%3D/download</t>
  </si>
  <si>
    <t>https://v3.espacenet.com/publicationDetails/biblio?CC=KR&amp;NR=102449202B1&amp;KC=B1&amp;FT=D&amp;date=20220929&amp;DB=EPODOC&amp;locale=</t>
  </si>
  <si>
    <t>KR20102449202 B1</t>
  </si>
  <si>
    <t>1.  A method for providing an exhibition platform service based on a metaverse environment, performed by an apparatus, the method comprising: acquiring exhibition participant information and exhibition product information from an exhibition participant terminal;generating a virtual booth based on the exhibition product information;arranging the created virtual booth in a virtual space based on the exhibition participant information;outputting the virtual space in which the virtual booth is arranged so that the user is located at the entrance of the virtual space through a virtual environment providing device;when the user selects an exhibition product in the virtual booth through the virtual environment providing device, outputting at least one of a promotional image, a demonstration image, a utilization image, and specification information of the exhibition product near the exhibition product;transmitting information on the selected exhibition product to a user terminal connected to the virtual environment providing device; and collecting data according to the user's activity and providing it to the terminal of the exhibition participating company, wherein, based on the exhibition product information, the step of creating a virtual booth is based on the exhibition product information, the virtual booth acquiring the size and number of exhibited products to be displayed in the.and setting the size of the virtual booth by using the size and number of the exhibition products, and arranging the created virtual booth in a virtual space based on the exhibition participant information includes: Collecting related posting materials, where the posting materials include materials posted on SNS including articles, blogs, Instagram, and the like;generating a recognition map corresponding to the exhibition participating company based on the number of the posted materials;determining whether the recognition level is greater than a preset first reference value;arranging the virtual booth of the exhibitor in a first area, the first area being the farthest from the door, if it is determined that the recognition is greater than the first reference value;determining whether the recognition level is greater than a preset second reference value when it is determined that the level of recognition is smaller than the first reference value;When it is determined that the recognition is greater than the second reference value, the virtual booth of the exhibitor is placed in a second zone - the zone where the second zone is closer to the door than the first zone and further away from the door than the third zone. placing;arranging the virtual booth of the exhibitor in a third area, the third area being the area closest to the door, if it is determined that the recognition is smaller than the second reference value;and updating the arrangement of the virtual booths based on the number of selections of the exhibited products, wherein the updating of the arrangement of the virtual booths includes checking the number of selections of exhibited products for each virtual booth, and exhibiting a large number of selections. The step of arranging a virtual booth displaying a product adjacent to the door, and the step of collecting data according to the user's activity and providing the data to the terminal of the exhibitor includes: checking the number of visitors to the virtual booth;checking the number of times exhibited products in the virtual booth are selected;selecting an exhibition product having the highest number of times selected as a core product, and extracting the number of times the core product is selected;generating a degree of interest in the core product by calculating the number of times the core product is selected relative to the number of visitors to the virtual booth;generating, as a group, exhibition products in which the selected number of times is greater than a preset target value;generating a marketing strategy by analyzing common characteristics of exhibited products included in the group; generating a report including the core product, the degree of interest of the core product, and the marketing strategy;A method of providing an exhibition platform service based on a metaverse environment, comprising the step of transmitting the generated report to the terminal of the exhibition participating company.</t>
  </si>
  <si>
    <t>US5774118 A | US6025841 A | US6208338 B1 | US7865829 B1 | US20010018658 A1 | US20060235790 A1 | US20070024613 A1 | US20070035549 A1 | US20070106526 A1 | US20070130001 A1 | US20070180335 A1 | US20070220428 A1 | US20070220429 A1 | US20080172635 A1 | US20080263446 A1 | US20090183237 A1 | US20100031162 A1</t>
  </si>
  <si>
    <t>US8764561 B1 | US8979651 B1 | US9486709 B1 | US9968849 B1 | US10376788 B2 | US20180250594 A1 | US10534515 B2 | US10646781 B2 | US10987584 B2 | US11338203 B2</t>
  </si>
  <si>
    <t>2009-11-05</t>
  </si>
  <si>
    <t>2008-05-01</t>
  </si>
  <si>
    <t>2012-03-12</t>
  </si>
  <si>
    <t>A method medium and implementing processing system are provided for enabling enhanced help or guidance that is tailored to a user and is available on a multitude of "levels" and in a variety of ways. A user is enabled to create a user profile by inputting information about his or her personal interests i.e. what they plan or hope to do in a virtual world application and possibly how the application can best meet the individual&amp;#39;s needs. Users are enabled to specify interests using a form free-form text or other means of input. Based on the user input specifications and depending upon user activity while in the metaverse application information will be provided about users places and events that may be useful to the user in accomplishing the individual user&amp;#39;s objectives.</t>
  </si>
  <si>
    <t>Profile-based help for metaverse applications</t>
  </si>
  <si>
    <t>Jones Angela Richards; Li Fu Yi; Lyle Ruthie D; Mallempati Vandana; Nesbitt Pamela Ann</t>
  </si>
  <si>
    <t>US12/113226</t>
  </si>
  <si>
    <t>JOHN M HEFFINGTON</t>
  </si>
  <si>
    <t>2172: Graphical User Interface and Document Processing</t>
  </si>
  <si>
    <t xml:space="preserve">A method for providing personalized help to a user of an interactive application being executed on a computer system in which said user is enabled to move an avatar on a display screen presenting various environments of said application, said method comprising:
obtaining a list of user preferences for avatar actions in different environments presented by said application;
determining when said user needs help in moving said avatar within a displayed application environment; and
using said user preferences in providing said help to said user when it is determined that said user needs help.
</t>
  </si>
  <si>
    <t>1. A method for providing personalized help to a user of an interactive application being executed on a computer system in which said user is enabled to move an avatar on a display screen presenting various environments of said application, said method comprising:
obtaining a list of user preferences for avatar actions in different environments presented by said application;
determining when said user needs help in moving said avatar within a displayed application environment; and
using said user preferences in providing said help to said user when it is determined that said user needs help.
2. The method as set forth in claim 1 wherein said list of user preferences is input to said application by said user.
3. The method as set forth in claim 1 and further including:
monitoring behavior of said avatar within said application; and
determining when said user needs help in moving said avatar by detecting predetermined behavior of said avatar within said application.
4. The method as set forth in claim 3 wherein said behavior is determined by detecting inactivity of said avatar for a predetermined period of time.
5. The method as set forth in claim 3 wherein said behavior is determined by one or more predetermined movements of said avatar.
6. The method as set forth in claim 1 wherein said help is provided as help text within a help window, said help text providing suggestions to said user for movement of said avatar consistent with said user preferences.
7. The method as set forth in claim 1 wherein said help is provided to said user in a form other than a presentation of help text in a help window.
8. The method as set forth in claim 4 and further including:
enabling said user to select a help level, said help level being selectable to determine a quantitative measure of said predetermined behavior necessary to be detected before providing said help to said user.
9. A medium programmed for providing personalized help to a user of an interactive application being executed on a computer system in which said user is enabled to move an avatar on a display screen presenting various environments of said application, said medium being readable by a computing device for providing program signals effective for:
obtaining a list of user preferences for avatar actions in different environments presented by said application;
determining when said user needs help in moving said avatar within a displayed environment; and
using said user preferences in providing said help to said user when it is determined that said user needs help.
10. The medium as set forth in claim 9 wherein said list of user preferences is input to said application by said user.
11. The medium as set forth in claim 9 wherein said program signals are further effective for:
monitoring behavior of said avatar within said application; and
determining when said user needs help in moving said avatar by detecting predetermined behavior of said avatar within said application.
12. The medium as set forth in claim 11 wherein said behavior is determined by detecting inactivity of said avatar for a predetermined period of time.
13. The medium as set forth in claim 11 wherein said behavior is determined by one or more predetermined movements of said avatar.
14. The medium as set forth in claim 9 wherein said help is provided as help text within a help window, said help text providing suggestions to said user for movement of said avatar consistent with said user preferences.
15. The medium as set forth in claim 9 wherein said help is provided to said user in a form other than a presentation of help text in a help window.
16. The medium as set forth in claim 12 wherein said program signals are further effective for:
enabling said user to select a help level, said help level being selectable to determine a quantitative measure of said predetermined behavior necessary to be detected before providing said help to said user.
17. A system for providing personalized help to a user of a application being executed on a computer system in which said user is enabled to move an avatar on a display screen presenting various environments of said application, said system comprising:
input means for obtaining a list of user preferences for avatar actions in different environments presented by said application;
means for determining when said user needs help in moving said avatar within a displayed environment; and
means for using said user preferences in providing said help to said user when it is determined that said user needs help.
18. The system as set forth in claim 17 wherein said list of user preferences is input to said application by said user.
19. The system as set forth in claim 17 and further including:
monitoring behavior of said avatar within said application; and
determining when said user needs help in moving said avatar by detecting predetermined behavior of said avatar within said application.
20. The system as set forth in claim 19 wherein said behavior is determined by detecting inactivity of said avatar for a predetermined period of time.</t>
  </si>
  <si>
    <t>Jones, Angela Richards|Li, Fu Yi|Lyle, Ruthie D|Mallempati, Vandana|Nesbitt, Pamela Ann</t>
  </si>
  <si>
    <t>G06Q0030000000</t>
  </si>
  <si>
    <t>G06Q0030000000 | G06F0009445050 | G06N0003006000 | G06F0009453000</t>
  </si>
  <si>
    <t>US20090276703A1</t>
  </si>
  <si>
    <t>US20090276703 A1</t>
  </si>
  <si>
    <t>I-000084447565</t>
  </si>
  <si>
    <t>https://patentscout.innography.com/share/8s0uVEv2H717H4lgNhvntA%3D%3D</t>
  </si>
  <si>
    <t>2008-04-14-ASSIGNMENT (INTERNATIONAL BUSINESS MACHINES CORPORATION)|2012-03-12-INFORMATION ON STATUS: APPLICATION DISCONTINUATION</t>
  </si>
  <si>
    <t>https://patentscout.innography.com/share/8s0uVEv2H717H4lgNhvntA%3D%3D/download</t>
  </si>
  <si>
    <t>https://ppubs.uspto.gov/pubwebapp/external.html?q=20090276703.pn.</t>
  </si>
  <si>
    <t>103 | US09/793187 | CTNF
103 | US09/793187 | CTFR
103 | US11/885704 | CTNF
103 | US11/885704 | CTFR
103 | US12/034582 | CTNF
103 | US12/034582 | CTFR</t>
  </si>
  <si>
    <t>Gomid Inc Korea Republic Of
Gomid Inc Korea Republic Of
Nokia Corporation
Nokia Corporation
Apple Inc.
Apple Inc.</t>
  </si>
  <si>
    <t>2011-08-11</t>
  </si>
  <si>
    <t>2011-03-31</t>
  </si>
  <si>
    <t>IBM CORPORATION (RVW)</t>
  </si>
  <si>
    <t>1. A method for providing personalized help to a user of an interactive application being executed on a computer system in which said user is enabled to move an avatar on a display screen presenting various environments of said application, said method comprising:
obtaining a list of user preferences for avatar actions in different environments presented by said application;
determining when said user needs help in moving said avatar within a displayed application environment; and
using said user preferences in providing said help to said user when it is determined that said user needs help.</t>
  </si>
  <si>
    <t>9. A medium programmed for providing personalized help to a user of an interactive application being executed on a computer system in which said user is enabled to move an avatar on a display screen presenting various environments of said application, said medium being readable by a computing device for providing program signals effective for:
obtaining a list of user preferences for avatar actions in different environments presented by said application;
determining when said user needs help in moving said avatar within a displayed environment; and
using said user preferences in providing said help to said user when it is determined that said user needs help.</t>
  </si>
  <si>
    <t>17. A system for providing personalized help to a user of a application being executed on a computer system in which said user is enabled to move an avatar on a display screen presenting various environments of said application, said system comprising:
input means for obtaining a list of user preferences for avatar actions in different environments presented by said application;
means for determining when said user needs help in moving said avatar within a displayed environment; and
means for using said user preferences in providing said help to said user when it is determined that said user needs help.</t>
  </si>
  <si>
    <t>US20020112180 A1 | US20050202877 A1</t>
  </si>
  <si>
    <t>CN104063240 A | US11144879 B2</t>
  </si>
  <si>
    <t>2010-06-10</t>
  </si>
  <si>
    <t>2012-02-14</t>
  </si>
  <si>
    <t>2008-12-04</t>
  </si>
  <si>
    <t>In order to facilitate rendering of scenery elements in a role playing game or in any other virtual universe (also known as a metaverse) there is provided a scenery container together with a play manager which cooperatively interact to achieve the loading saving and storage of sets of scenery elements. Renderings are thus carried out more quickly and efficiently and with easier efforts on the part of the users.</t>
  </si>
  <si>
    <t>Method and system for rendering the scenes of a role playing game in a metaverse</t>
  </si>
  <si>
    <t>US12/328372</t>
  </si>
  <si>
    <t>THOMAS L DICKEY</t>
  </si>
  <si>
    <t>2826: Semiconductors/Memory</t>
  </si>
  <si>
    <t xml:space="preserve">A computer-implemented method for saving a set of scenery elements on a stage in a virtual universe environment, said method comprising the steps of:
creating a set of scenery elements for said stage;
providing a scenery container for said scenery elements;
storing said scenery elements in said scenery container; and
loading said scenery container into a play manager's inventory.
</t>
  </si>
  <si>
    <t>1. A computer-implemented method for saving a set of scenery elements on a stage in a virtual universe environment, said method comprising the steps of:
creating a set of scenery elements for said stage;
providing a scenery container for said scenery elements;
storing said scenery elements in said scenery container; and
loading said scenery container into a play manager's inventory.
2. The method of claim 1 in which said creating step includes placing said scenery elements on said stage and activating scripts within said play manager.
3. The method of claim 1 in which said providing step includes a step in which the scenery container requests a play name from said play manager and a step in which said scenery container initializes itself.
4. The method of claim 1 in which said storing step includes the following steps:
requesting and receiving act and scene numbers;
scanning said scenery elements on said stage and placing them in an inventory for said scenery container;
removing said scanned scenery elements from said stage; and
renaming said scenery container so as to correspond to said act and scene numbers for said play name.
5. The method of claim 1 in which said loading step includes the steps of:
loading, by said play manager, said scenery container into an inventory for said play manager;
removing said scenery manager from said stage; and
saving attributes of said scenery container by said play manager.
6. A computer-implemented method for rendering a set of scenery elements on a stage in a virtual universe environment, said method comprising the steps of:
requesting a play manager to load said set of scenery elements onto said stage;
loading said set of said scenery elements on said stage by a scenery container; and
causing said scenery container to remove itself and informing said play manager.
7. The method of claim 6 in which said requesting step includes the steps of:
removing objects from a previous scene;
resolving reference to a scenery container;
activating said scenery container; and
maintaining a copy of said scenery container by said play manager.
8. The method of claim 6 in which said loading step includes the steps of:
resolving scenery elements present in said scenery container on said stage; and
maintaining a copy of said scenery elements by said scene container.
9. A computer program product to facilitate rendering scenery in a virtual universe environment, the computer program product comprising:
a storage medium readable by a processing circuit and storing instructions for execution by the processing circuit for performing a method comprising the steps of:
creating a set of scenery elements for a stage;
providing a scenery container for said scenery elements;
storing said scenery elements in said scenery container; and
loading said scenery container into a play manager's inventory.
10. The computer program product of claim 9 in which said creating step includes placing said scenery elements on said stage and activating scripts within said play manager.
11. The computer program product of claim 9 in which said providing step includes a step in which the scenery container requests a play name from said play manager and a step in which said scenery container initializes itself.
12. The computer program product of claim 9 in which said storing step includes the following steps:
requesting and receiving act and scene numbers;
scanning said scenery elements on said stage and placing them in an inventory for said scenery container;
removing said scanned scenery elements from said stage; and
renaming said scenery container so as to correspond to said act and scene numbers for said play name.
13. The computer program product of claim 9 in which said loading step includes the steps of:
loading, by said play manager, said scenery container into an inventory for said play manager;
removing said scenery manager from said stage; and
saving attributes of said scenery container by said play manager.
14. A computer system for rendering scenery in a virtual universe environment said computer system comprising:
a memory; and
a processor in communications with the memory, wherein the computer system is capable of performing a method comprising the steps of:
creating a set of scenery elements for a stage;
providing a scenery container for said scenery elements;
storing said scenery elements in said scenery container; and
loading said scenery container into a play manager's inventory.
15. The computer system of claim 14 in which said creating step includes placing said scenery elements on said stage and activating scripts within said play manager.
16. The computer system of claim 14 in which said providing step includes a step in which the scenery container requests a play name from said play manager and a step in which said scenery container initializes itself.
17. The computer system of claim 14 in which said storing step includes the following steps:
requesting and receiving act and scene numbers;
scanning said scenery elements on said stage and placing them in an inventory for said scenery container;
removing said scanned scenery elements from said stage; and
renaming said scenery container so as to correspond to said act and scene numbers for said play name.
18. The computer system of claim 14 in which said loading step includes the steps of:
loading, by said play manager, said scenery container into an inventory for said play manager;
removing said scenery manager from said stage; and
saving attributes of said scenery container by said play manager.</t>
  </si>
  <si>
    <t>De, Judicibus Dario</t>
  </si>
  <si>
    <t>US8113959 B2</t>
  </si>
  <si>
    <t>A63F0013100000</t>
  </si>
  <si>
    <t>A63F0013100000 | A63F0013520000 | A63F0013120000 | A63F2300600900 | A63F2300660000 | A63F2300807000 | A63F2300808200 | G06N0003006000 | A63F0013600000 | A63F0013822000</t>
  </si>
  <si>
    <t>US20100144441A1|US8113959B2</t>
  </si>
  <si>
    <t>US20100144441 A1 | US8113959 B2</t>
  </si>
  <si>
    <t>I-000088921815</t>
  </si>
  <si>
    <t>Application expired due to grant (US8113959 B2)</t>
  </si>
  <si>
    <t>https://patentscout.innography.com/share/75neWhyR3xN5pFpffQVnfA%3D%3D</t>
  </si>
  <si>
    <t>2008-12-04-ASSIGNMENT (INTERNATIONAL BUSINESS MACHINES CORPORATION)|2012-01-25-INFORMATION ON STATUS: PATENT GRANT|2012-12-31-ASSIGNMENT (ACTIVISION PUBLISHING, INC.)|2014-01-31-ASSIGNMENT (BANK OF AMERICA, N.A.)|2015-08-14-FEE PAYMENT|2016-10-14-ASSIGNMENT (ACTIVISION BLIZZARD INC.;ACTIVISION PUBLISHING, INC.;ACTIVISION ENTERTAINMENT HOLDINGS, INC.;BLIZZARD ENTERTAINMENT, INC.)|2019-08-14-MAINTENANCE FEE PAYMENT</t>
  </si>
  <si>
    <t>https://patentscout.innography.com/share/75neWhyR3xN5pFpffQVnfA%3D%3D/download</t>
  </si>
  <si>
    <t>https://ppubs.uspto.gov/pubwebapp/external.html?q=20100144441.pn.</t>
  </si>
  <si>
    <t>US20100144441 A1</t>
  </si>
  <si>
    <t>102 | (not available) | CTNF</t>
  </si>
  <si>
    <t>(not available)</t>
  </si>
  <si>
    <t>2011-06-08</t>
  </si>
  <si>
    <t>Sheppard Mullin Richter &amp; Hampton</t>
  </si>
  <si>
    <t>Kevin P. Radigan | Ronald A. Kaschak</t>
  </si>
  <si>
    <t>1. A computer-implemented method for saving a set of scenery elements on a stage in a virtual universe environment, said method comprising the steps of:
creating a set of scenery elements for said stage;
providing a scenery container for said scenery elements;
storing said scenery elements in said scenery container; and
loading said scenery container into a play manager's inventory.</t>
  </si>
  <si>
    <t>6. A computer-implemented method for rendering a set of scenery elements on a stage in a virtual universe environment, said method comprising the steps of:
requesting a play manager to load said set of scenery elements onto said stage;
loading said set of said scenery elements on said stage by a scenery container; and
causing said scenery container to remove itself and informing said play manager.</t>
  </si>
  <si>
    <t>9. A computer program product to facilitate rendering scenery in a virtual universe environment, the computer program product comprising:
a storage medium readable by a processing circuit and storing instructions for execution by the processing circuit for performing a method comprising the steps of:
creating a set of scenery elements for a stage;
providing a scenery container for said scenery elements;
storing said scenery elements in said scenery container; and
loading said scenery container into a play manager's inventory.</t>
  </si>
  <si>
    <t>14. A computer system for rendering scenery in a virtual universe environment said computer system comprising:
a memory; and
a processor in communications with the memory, wherein the computer system is capable of performing a method comprising the steps of:
creating a set of scenery elements for a stage;
providing a scenery container for said scenery elements;
storing said scenery elements in said scenery container; and
loading said scenery container into a play manager's inventory.</t>
  </si>
  <si>
    <t>US20020112180 A1 | US20050202877 A1 | EP1082984 A2</t>
  </si>
  <si>
    <t>US9930043 B2 | US10055880 B2 | US10099140 B2 | US10118099 B2 | US10137376 B2 | US10179289 B2 | US10213682 B2 | US10226701 B2 | US10226703 B2 | US10232272 B2 | US10245509 B2 | US10284454 B2 | US10286314 B2 | US10286326 B2 | US10300390 B2 | US10315113 B2 | US10322351 B2 | US10376781 B2 | US10376792 B2 | US10376793 B2 | US10421019 B2 | US10463964 B2 | US10463971 B2 | US10471348 B2 | US10486068 B2 | US10500498 B2 | US10537809 B2 | US10561945 B2 | US10573065 B2 | US10586380 B2 | US10596471 B2 | US10627983 B2 | US10650539 B2 | US10668367 B2 | US10668381 B2 | US10694352 B2 | US10701077 B2 | US10702779 B2 | US10709981 B2 | US10765948 B2 | US10807003 B2 | US10818060 B2 | US10835818 B2 | US10857468 B2 | US10861079 B2 | US10864443 B2 | US10898813 B2 | US10905963 B2 | US10974150 B2 | US10981051 B2 | US10981069 B2 | US10987588 B2 | US10991110 B2 | US11040286 B2 | US11097193 B2 | US11115712 B2 | US11117055 B2 | US11148063 B2 | US11185784 B2 | US11189084 B2 | US11192028 B2 | US11207596 B2 | US11213753 B2 | US11224807 B2 | US11263670 B2 | US11278813 B2 | US11305191 B2 | US11310346 B2 | US11344808 B2 | US11351459 B2 | US11351466 B2 | US11413536 B2 | US11420119 B2 | US11420122 B2 | US11423556 B2 | US11423605 B2 | US11439904 B2 | US11439909 B2 | US11446582 B2 | US11507733 B2 | US11524234 B2 | US11524237 B2 | US11537209 B2 | US8453219 B2 | US8493386 B2 | US8522330 B2 | US20130047098 A1 | US8572207 B2 | US8621368 B2 | US8671142 B2 | US8947427 B2 | US9046994 B2 | US9087399 B2 | US9386022 B2 | US9509699 B2</t>
  </si>
  <si>
    <t>2030-06-18</t>
  </si>
  <si>
    <t xml:space="preserve">A computer-implemented method for saving a set of scenery elements on a stage in a virtual universe environment, said method comprising:
creating a set of scenery elements for said stage, said scenery elements comprising one or more active objects of a role playing game, wherein the one or more active objects interact with avatars in said role playing game during gameplay thereof, and wherein said one or more active objects change object states across a time sequence of said role playing game;
providing a scenery container for said scenery elements, said scenery container being linked to be part of said role playing game by a scene identifier of said role playing game, said scenery container facilitating managing storage and rendering of said one or more active objects in correct positions and object states on said stage;
responsive to breaking gameplay action of said role playing game, storing said scenery elements in said scenery container, said storing comprising storing indications as to said correct positions of said one or more active objects and indications as to how said one or more active objects change state in response to passage of time of said time sequence of said role playing game, wherein said storing facilitates, responsive to resuming gameplay action of said role playing game, rendering each active object of said one or more active objects in a respective same position and same state of said active object as when gameplay action was broken; and
loading said scenery container into inventory of a play manager, said play manager controlling a flow of action in said role playing game.
</t>
  </si>
  <si>
    <t>1. A computer-implemented method for saving a set of scenery elements on a stage in a virtual universe environment, said method comprising:
creating a set of scenery elements for said stage, said scenery elements comprising one or more active objects of a role playing game, wherein the one or more active objects interact with avatars in said role playing game during gameplay thereof, and wherein said one or more active objects change object states across a time sequence of said role playing game;
providing a scenery container for said scenery elements, said scenery container being linked to be part of said role playing game by a scene identifier of said role playing game, said scenery container facilitating managing storage and rendering of said one or more active objects in correct positions and object states on said stage;
responsive to breaking gameplay action of said role playing game, storing said scenery elements in said scenery container, said storing comprising storing indications as to said correct positions of said one or more active objects and indications as to how said one or more active objects change state in response to passage of time of said time sequence of said role playing game, wherein said storing facilitates, responsive to resuming gameplay action of said role playing game, rendering each active object of said one or more active objects in a respective same position and same state of said active object as when gameplay action was broken; and
loading said scenery container into inventory of a play manager, said play manager controlling a flow of action in said role playing game.
2. The method of claim 1 in which said creating includes placing said scenery elements on said stage and activating scripts within said play manager.
3. The method of claim 1 in which said providing includes the scenery container requesting a play name from said play manager and initializing itself, said initializing comprising defining a coordinate system to be used to store relative position and orientation for said one or more active objects.
4. The method of claim 1 in which said storing includes:
requesting and receiving act and scene numbers for said play name, said act and scene numbers corresponding to a current act and scene of said role playing game at which gameplay action is broken;
scanning said scenery elements on said stage and placing them in an inventory for said scenery container, said inventory corresponding to an inventory of elements for said current act and scene of said role playing game;
removing said scanned scenery elements from said stage and storing in said scenery container scenery element attributes of said scanned scenery elements; and
renaming said scenery container so as to correspond to said act and scene numbers for said play name.
5. The method of claim 1 in which said loading includes:
loading, by said play manager, said scenery container into an inventory for said play manager;
removing said scenery container from said stage; and
saving attributes of said scenery container by said play manager.
6. The method of claim 1, wherein:
said creating includes placing said scenery elements on said stage and activating scripts within said play manager;
said providing includes the scenery container requesting a play name from said play manager and initializing itself, said initializing comprising defining a coordinate system to be used to store relative position and orientation for said one or more active objects;
said storing includes:
requesting and receiving act and scene numbers for said play name, said act and scene numbers corresponding to a current act and scene of said role playing game at which gameplay action is broken;
scanning said scenery elements on said stage and placing them in an inventory for said scenery container, said inventory corresponding to an inventory of elements for said current act and scene of said role playing game;
removing said scanned scenery elements from said stage and storing in said scenery container scenery element attributes of said scanned scenery elements; and
renaming said scenery container so as to correspond to said act and scene numbers for said play name; and
said loading includes:
loading, by said play manager, said scenery container into an inventory for said play manager;
removing said scenery container from said stage; and
saving attributes of said scenery container by said play manager.
7. A computer-implemented method for rendering a set of scenery elements on a stage in a virtual universe environment, said method comprising:
responsive to resuming gameplay action of a role playing game of said virtual universe environment, wherein said scenery elements comprise one or more active objects of a role playing game, wherein the one or more active objects interact with avatars in said role playing game during gameplay thereof and wherein said one or more active objects change object states across a time sequence of said role playing game:
requesting a play manager to load said set of scenery elements onto said stage;
loading said set of said scenery elements on said stage by a scenery container, said scenery container being linked to be part of said role playing game by a scene identifier of said role playing game, said scenery container facilitating managing storage and rendering of said one or more active objects in correct positions and object states on said stage, wherein storing said one or more active objects comprises, responsive to breaking gameplay action of said role playing game, storing indications as to said correct position of said one or more active objects and indications as to how said one or more active objects change state in response to passage of time of said time sequence of said role playing game, and said storing facilitating rendering each active object of said one or more active objects in a respective same position and same state of said active object as when gameplay action of said role playing was broken; and
causing said scenery container to remove itself and inform said play manager.
8. The method of claim 7 in which said requesting includes:
removing objects from a previous scene of said role playing game by said play manager;
resolving one or more references to said scenery container by said play manager;
activating said scenery container by said play manager; and
maintaining a copy of said scenery container by said play manager.
9. The method of claim 7 in which said loading includes:
resolving scenery elements present in said scenery container on said stage; and
maintaining a copy of said scenery elements by said scene container.
10. The method of claim 7, wherein:
said requesting includes:
removing objects from a previous scene of said role playing game by said play manager;
resolving one or more references to said scenery container by said play manager;
activating said scenery container by said play manager; and
maintaining a copy of said scenery container by said play manager; and said loading includes:
resolving scenery elements present in said scenery container on said stage; and
maintaining a copy of said scenery elements by said scene container.
11. A computer program product to facilitate saving a set of scenery elements on a stage in a virtual universe environment, the computer program product comprising:
a storage medium readable by a processing circuit and storing instructions for execution by the processing circuit for performing a method comprising:
creating a set of scenery elements for said stage, said scenery elements comprising one or more active objects of a role playing game, wherein the one or more active objects interact with avatars in said role playing game during gameplay thereof, and wherein said one or more active objects change object states across a time sequence of said role playing game;
providing a scenery container for said scenery elements, said scenery container being linked to be part of said role playing game by a scene identifier of said role playing game, said scenery container facilitating managing storage and rendering of said one or more active objects in correct positions and object states on said stage;
responsive to breaking gameplay action of said role playing game, storing said scenery elements in said scenery container, said storing comprising storing indications as to said correct positions of said one or more active objects and indications as to how said one or more active objects change state in response to passage of time of said time sequence of said role playing game, wherein said storing facilitates, responsive to resuming gameplay action of said role playing game, rendering each active object of said one or more active objects in a respective same position and same state of said active object as when gameplay action was broken; and
loading said scenery container into inventory of a play manager, said play manager controlling a flow of action in said role playing game.
12. The computer program product of claim 11 in which said creating includes placing said scenery elements on said stage and activating scripts within said play manager.
13. The computer program product of claim 11 in which said providing includes the scenery container requesting a play name from said play manager and initializing itself, said initializing comprising defining a coordinate system to be used to store relative position and orientation for said one or more active objects.
14. The computer program product of claim 11 in which said storing includes:
requesting and receiving act and scene numbers for said play name, said act and scene numbers corresponding to a current act and scene of said role playing game at which gameplay action is broken;
scanning said scenery elements on said stage and placing them in an inventory for said scenery container, said inventory corresponding to an inventory of elements for said current act and scene of said role playing game;
removing said scanned scenery elements from said stage and storing in said scenery container scenery element attributes of said scanned scenery elements; and
renaming said scenery container so as to correspond to said act and scene numbers for said play name.
15. The computer program product of claim 11 in which said loading includes:
loading, by said play manager, said scenery container into an inventory for said play manager;
removing said scenery container from said stage; and
saving attributes of said scenery container by said play manager.
16. A computer system for saving a set of scenery elements on a stage in a virtual universe environment said computer system comprising:
a memory; and
a processor in communications with the memory, wherein the computer system is configured to perform:
creating a set of scenery elements for said stage, said scenery elements comprising one or more active objects of a role playing game, wherein the one or more active objects interact with avatars in said role playing game during gameplay thereof, and wherein said one or more active objects change object states across a time sequence of said role playing game;
providing a scenery container for said scenery elements, said scenery container being linked to be part of said role playing game by a scene identifier of said role playing game, said scenery container facilitating managing storage and rendering of said one or more active objects in correct positions and object states on said stage;
responsive to breaking gameplay action of said role playing game, storing said scenery elements in said scenery container, said storing comprising storing indications as to said correct positions of said one or more active objects and indications as to how said one or more active objects change state in response to passage of time of said time sequence of said role playing game, wherein said storing facilitates, responsive to resuming gameplay action of said role playing game, rendering each active object of said one or more active objects in a respective same position and same state of said active object as when gameplay action was broken; and
loading said scenery container into inventory of a play manager, said play manager controlling a flow of action in said role playing game.
17. The computer system of claim 16 in which said creating includes placing said scenery elements on said stage and activating scripts within said play manager.
18. The computer system of claim 16 in which said providing includes the scenery container requesting a play name from said play manager and initializing itself, said initializing comprising defining a coordinate system to be used to store relative position and orientation for said one or more active objects.
19. The computer system of claim 16 in which said storing includes:
requesting and receiving act and scene numbers for said play name, said act and scene numbers corresponding to a current act and scene of said role playing game at which gameplay action is broken;
scanning said scenery elements on said stage and placing them in an inventory for said scenery container, said inventory corresponding to an inventory of elements for said current act and scene of said role playing game;
removing said scanned scenery elements from said stage and storing in said scenery container scenery element attributes of said scanned scenery elements; and
renaming said scenery container so as to correspond to said act and scene numbers for said play name.
20. The computer system of claim 16 in which said loading includes:
loading, by said play manager, said scenery container into an inventory for said play manager;
removing said scenery container from said stage; and
saving attributes of said scenery container by said play manager.</t>
  </si>
  <si>
    <t>De Judicibus, Dario</t>
  </si>
  <si>
    <t>H04N00578300</t>
  </si>
  <si>
    <t>463042000|715731000</t>
  </si>
  <si>
    <t>80th-90th Percentile</t>
  </si>
  <si>
    <t>$20862</t>
  </si>
  <si>
    <t>20 years from 2008-12-04 (file date) plus a term adjustment of 561 days</t>
  </si>
  <si>
    <t>https://patentscout.innography.com/share/ItcDXTLPiSEeXOisEDuAHQ%3D%3D</t>
  </si>
  <si>
    <t>https://patentscout.innography.com/share/ItcDXTLPiSEeXOisEDuAHQ%3D%3D/download</t>
  </si>
  <si>
    <t>https://ppubs.uspto.gov/pubwebapp/external.html?q=8113959.pn.</t>
  </si>
  <si>
    <t>1. A computer-implemented method for saving a set of scenery elements on a stage in a virtual universe environment, said method comprising:
creating a set of scenery elements for said stage, said scenery elements comprising one or more active objects of a role playing game, wherein the one or more active objects interact with avatars in said role playing game during gameplay thereof, and wherein said one or more active objects change object states across a time sequence of said role playing game;
providing a scenery container for said scenery elements, said scenery container being linked to be part of said role playing game by a scene identifier of said role playing game, said scenery container facilitating managing storage and rendering of said one or more active objects in correct positions and object states on said stage;
responsive to breaking gameplay action of said role playing game, storing said scenery elements in said scenery container, said storing comprising storing indications as to said correct positions of said one or more active objects and indications as to how said one or more active objects change state in response to passage of time of said time sequence of said role playing game, wherein said storing facilitates, responsive to resuming gameplay action of said role playing game, rendering each active object of said one or more active objects in a respective same position and same state of said active object as when gameplay action was broken; and
loading said scenery container into inventory of a play manager, said play manager controlling a flow of action in said role playing game.</t>
  </si>
  <si>
    <t>7. A computer-implemented method for rendering a set of scenery elements on a stage in a virtual universe environment, said method comprising:
responsive to resuming gameplay action of a role playing game of said virtual universe environment, wherein said scenery elements comprise one or more active objects of a role playing game, wherein the one or more active objects interact with avatars in said role playing game during gameplay thereof and wherein said one or more active objects change object states across a time sequence of said role playing game:
requesting a play manager to load said set of scenery elements onto said stage;
loading said set of said scenery elements on said stage by a scenery container, said scenery container being linked to be part of said role playing game by a scene identifier of said role playing game, said scenery container facilitating managing storage and rendering of said one or more active objects in correct positions and object states on said stage, wherein storing said one or more active objects comprises, responsive to breaking gameplay action of said role playing game, storing indications as to said correct position of said one or more active objects and indications as to how said one or more active objects change state in response to passage of time of said time sequence of said role playing game, and said storing facilitating rendering each active object of said one or more active objects in a respective same position and same state of said active object as when gameplay action of said role playing was broken; and
causing said scenery container to remove itself and inform said play manager.</t>
  </si>
  <si>
    <t>11. A computer program product to facilitate saving a set of scenery elements on a stage in a virtual universe environment, the computer program product comprising:
a storage medium readable by a processing circuit and storing instructions for execution by the processing circuit for performing a method comprising:
creating a set of scenery elements for said stage, said scenery elements comprising one or more active objects of a role playing game, wherein the one or more active objects interact with avatars in said role playing game during gameplay thereof, and wherein said one or more active objects change object states across a time sequence of said role playing game;
providing a scenery container for said scenery elements, said scenery container being linked to be part of said role playing game by a scene identifier of said role playing game, said scenery container facilitating managing storage and rendering of said one or more active objects in correct positions and object states on said stage;
responsive to breaking gameplay action of said role playing game, storing said scenery elements in said scenery container, said storing comprising storing indications as to said correct positions of said one or more active objects and indications as to how said one or more active objects change state in response to passage of time of said time sequence of said role playing game, wherein said storing facilitates, responsive to resuming gameplay action of said role playing game, rendering each active object of said one or more active objects in a respective same position and same state of said active object as when gameplay action was broken; and
loading said scenery container into inventory of a play manager, said play manager controlling a flow of action in said role playing game.</t>
  </si>
  <si>
    <t>16. A computer system for saving a set of scenery elements on a stage in a virtual universe environment said computer system comprising:
a memory; and
a processor in communications with the memory, wherein the computer system is configured to perform:
creating a set of scenery elements for said stage, said scenery elements comprising one or more active objects of a role playing game, wherein the one or more active objects interact with avatars in said role playing game during gameplay thereof, and wherein said one or more active objects change object states across a time sequence of said role playing game;
providing a scenery container for said scenery elements, said scenery container being linked to be part of said role playing game by a scene identifier of said role playing game, said scenery container facilitating managing storage and rendering of said one or more active objects in correct positions and object states on said stage;
responsive to breaking gameplay action of said role playing game, storing said scenery elements in said scenery container, said storing comprising storing indications as to said correct positions of said one or more active objects and indications as to how said one or more active objects change state in response to passage of time of said time sequence of said role playing game, wherein said storing facilitates, responsive to resuming gameplay action of said role playing game, rendering each active object of said one or more active objects in a respective same position and same state of said active object as when gameplay action was broken; and
loading said scenery container into inventory of a play manager, said play manager controlling a flow of action in said role playing game.</t>
  </si>
  <si>
    <t>KR20040011056 A | KR101503994 B1 | KR102372283 B1 | KR102388442 B1 | KR102407595 B1 | KR20140061562 A | KR20170031962 A</t>
  </si>
  <si>
    <t>2022-09-26</t>
  </si>
  <si>
    <t>The apparatus according to an embodiment obtains spatial information about a real space from a seller terminal obtains product information of a product to be sold from the seller terminal and creates a virtual space in which a product is placed through the space information and product information When it is confirmed that the user is located at the door of the virtual space through the virtual environment providing device user information is obtained and based on the user information it is checked whether the user has actually visited the real space and the user has visited the real space. If it is confirmed that there is the user input is received through the virtual environment providing device and when an input that the user will experience a virtual space along the past movement is received the user controls to display the past movement through the virtual environment providing device and the user actually visits. Receive the weather information of the day reflect and display the weather information in the virtual space and when an input indicating that the purchased product will be repurchased is received guide the user to the purchase area through the virtual environment providing device; When it is determined that the user is located in the purchase area a list of products purchased by the user is created and controlled to be displayed through the virtual environment providing device. Controls the virtual space to be displayed accordingly.</t>
  </si>
  <si>
    <t>Method, device and system for providing spatial experience service combined with commerce service based on metaverse environment</t>
  </si>
  <si>
    <t>Denoba Inc.</t>
  </si>
  <si>
    <t>DENOBA INC.</t>
  </si>
  <si>
    <t>KR20220085579A</t>
  </si>
  <si>
    <t>A method for providing a space experience service in which a commerce service is combined based on a metaverse environment, performed by an apparatus, the method comprising: acquiring spatial information about an actual space from a seller terminal;obtaining product information of a product to be sold from the seller terminal;generating a virtual space in which the product is arranged based on the spatial information and the product information;acquiring user information of the user when it is confirmed that the user is located at the entrance of the virtual space through the virtual environment providing device;checking whether the user has actually visited the real space based on the user information;When it is confirmed that the user has visited the real space, a user input through the virtual environment providing device - whether to experience the virtual space along the user's past movement, to repurchase the product purchased by the user, or receiving an input as to whether or not to make a new experience;When an input indicating that the user will experience the virtual space along the past movement line is received, the virtual environment providing device controls the display of the past movement line, receives weather information on the day the user actually visited, and displays the corresponding weather in the virtual space reflecting and displaying information; When an input indicating that the purchased product will be repurchased is received, the user is guided to be located in the purchase area through the virtual environment providing device, and when it is determined that the user is located in the purchase area, a list of products purchased by the user is generated controlling the display to be displayed through the virtual environment providing device; controlling the virtual space to be displayed according to the user's manipulation through the virtual environment providing device when an input indicating that a new experience is to be performed is received;providing a menu related to the product when a product is selected through the virtual environment providing device;guiding the user to be located in a product manufacturing area so that the user can check the manufacturing method of the product based on a first input through the menu; acquiring an expiration date of the product based on a second input through the menu;determining whether the shelf life of the product is longer than a preset threshold period;when it is determined that the shelf life of the product is longer than the threshold period, obtaining an address from the user information and controlling the product to be delivered to the address; and providing a discount coupon corresponding to the product to the user terminal of the user when it is determined that the shelf life of the product is shorter than the threshold period. Way.</t>
  </si>
  <si>
    <t>A method for providing a space experience service in which a commerce service is combined based on a metaverse environment, performed by an apparatus, the method comprising: acquiring spatial information about an actual space from a seller terminal;obtaining product information of a product to be sold from the seller terminal;generating a virtual space in which the product is arranged based on the spatial information and the product information;acquiring user information of the user when it is confirmed that the user is located at the entrance of the virtual space through the virtual environment providing device;checking whether the user has actually visited the real space based on the user information;When it is confirmed that the user has visited the real space, a user input through the virtual environment providing device - whether to experience the virtual space along the user's past movement, to repurchase the product purchased by the user, or receiving an input as to whether or not to make a new experience;When an input indicating that the user will experience the virtual space along the past movement line is received, the virtual environment providing device controls the display of the past movement line, receives weather information on the day the user actually visited, and displays the corresponding weather in the virtual space reflecting and displaying information; When an input indicating that the purchased product will be repurchased is received, the user is guided to be located in the purchase area through the virtual environment providing device, and when it is determined that the user is located in the purchase area, a list of products purchased by the user is generated controlling the display to be displayed through the virtual environment providing device; controlling the virtual space to be displayed according to the user's manipulation through the virtual environment providing device when an input indicating that a new experience is to be performed is received;providing a menu related to the product when a product is selected through the virtual environment providing device;guiding the user to be located in a product manufacturing area so that the user can check the manufacturing method of the product based on a first input through the menu; acquiring an expiration date of the product based on a second input through the menu;determining whether the shelf life of the product is longer than a preset threshold period;when it is determined that the shelf life of the product is longer than the threshold period, obtaining an address from the user information and controlling the product to be delivered to the address; and providing a discount coupon corresponding to the product to the user terminal of the user when it is determined that the shelf life of the product is shorter than the threshold period. Way.
delete
The method of claim 1, further comprising: if the product to be sold by the seller is a limited-sale product, generating a virtual object corresponding to the product as much as the quantity of the product at the time the product is received;controlling the created object to be displayed in a limited sale product area on the virtual space;when a purchase of a product displayed in the limited sale product area on the virtual space is made, controlling the product to disappear from the limited sale product area on the virtual space by the purchased quantity; and when the product is sold in the real space, controlling the product to disappear in the limited sale product area on the virtual space by the purchased quantity. How to provide experiential services.</t>
  </si>
  <si>
    <t>Song, Joon Hyung|Cha, Gyung Min|Oh, Eun Young</t>
  </si>
  <si>
    <t>KR102447516B1</t>
  </si>
  <si>
    <t>I-000230624341</t>
  </si>
  <si>
    <t>https://patentscout.innography.com/share/HcAWF3JMHPvw6pxfdLWypQ%3D%3D</t>
  </si>
  <si>
    <t>2022-09-15-DECISION TO GRANT OR REGISTRATION OF PATENT RIGHT|2022-09-21-WRITTEN DECISION TO GRANT</t>
  </si>
  <si>
    <t>https://patentscout.innography.com/share/HcAWF3JMHPvw6pxfdLWypQ%3D%3D/download</t>
  </si>
  <si>
    <t>https://v3.espacenet.com/publicationDetails/biblio?CC=KR&amp;NR=102447516B1&amp;KC=B1&amp;FT=D&amp;date=20220926&amp;DB=EPODOC&amp;locale=</t>
  </si>
  <si>
    <t>KR20102447516 B1</t>
  </si>
  <si>
    <t>1.  A method for providing a space experience service in which a commerce service is combined based on a metaverse environment, performed by an apparatus, the method comprising: acquiring spatial information about an actual space from a seller terminal;obtaining product information of a product to be sold from the seller terminal;generating a virtual space in which the product is arranged based on the spatial information and the product information;acquiring user information of the user when it is confirmed that the user is located at the entrance of the virtual space through the virtual environment providing device;checking whether the user has actually visited the real space based on the user information;When it is confirmed that the user has visited the real space, a user input through the virtual environment providing device - whether to experience the virtual space along the user's past movement, to repurchase the product purchased by the user, or receiving an input as to whether or not to make a new experience;When an input indicating that the user will experience the virtual space along the past movement line is received, the virtual environment providing device controls the display of the past movement line, receives weather information on the day the user actually visited, and displays the corresponding weather in the virtual space reflecting and displaying information; When an input indicating that the purchased product will be repurchased is received, the user is guided to be located in the purchase area through the virtual environment providing device, and when it is determined that the user is located in the purchase area, a list of products purchased by the user is generated controlling the display to be displayed through the virtual environment providing device; controlling the virtual space to be displayed according to the user's manipulation through the virtual environment providing device when an input indicating that a new experience is to be performed is received;providing a menu related to the product when a product is selected through the virtual environment providing device;guiding the user to be located in a product manufacturing area so that the user can check the manufacturing method of the product based on a first input through the menu; acquiring an expiration date of the product based on a second input through the menu;determining whether the shelf life of the product is longer than a preset threshold period;when it is determined that the shelf life of the product is longer than the threshold period, obtaining an address from the user information and controlling the product to be delivered to the address; and providing a discount coupon corresponding to the product to the user terminal of the user when it is determined that the shelf life of the product is shorter than the threshold period. Way.</t>
  </si>
  <si>
    <t>CN113687718 A | CN113050455 A | WO2022146742 A1</t>
  </si>
  <si>
    <t>2020-11-19</t>
  </si>
  <si>
    <t>2019-05-16</t>
  </si>
  <si>
    <t>2020-05-15</t>
  </si>
  <si>
    <t>2019-06-26</t>
  </si>
  <si>
    <t>A real-world vehicle includes multiple data sources that generate sensor data that is spatially- mapped to a real-world region; a data fusion system is configured to fuse or integrate (i) the spatially-mapped sensor data with (ii) virtual data that has been generated outside of the vehicle or generated independently of the operation of the vehicle and is spatially-mapped to a virtual world. This enables a fusion of the real and virtual worlds which enables a self-driving car to interact not only with the physical world but also to virtual objects introduced into the path of the car (e.g. by a test or development engineer) to test how well the car and its autonomous driving systems cope with the virtual object.</t>
  </si>
  <si>
    <t>A metaverse data fusion system</t>
  </si>
  <si>
    <t>Roborace Limited</t>
  </si>
  <si>
    <t>ROBORACE LIMITED</t>
  </si>
  <si>
    <t>GB2020051198W</t>
  </si>
  <si>
    <t>A data fusion system for use in a real-world vehicle, in which the vehicle includes multiple data sources that generate sensor data that is spatially-mapped to a real-world region; and in which the data fusion system is configured to fuse or integrate (i) the spatially-mapped sensor data with (ii) virtual data that has been generated outside of the vehicle or, whether inside or outside of the vehicle, has been generated independently of the vehicle or the operation of the vehicle, and is also spatially-mapped to a virtual world. Data fusion</t>
  </si>
  <si>
    <t>1. A data fusion system for use in a real-world vehicle, in which the vehicle includes multiple data sources that generate sensor data that is spatially-mapped to a real-world region; and in which the data fusion system is configured to fuse or integrate (i) the spatially-mapped sensor data with (ii) virtual data that has been generated outside of the vehicle or, whether inside or outside of the vehicle, has been generated independently of the vehicle or the operation of the vehicle, and is also spatially-mapped to a virtual world. Data fusion 
2. The data fusion system of Claim 1 in which there are data sources that generate control data and in which the data fusion system is further configured to fuse or integrate the control data, as well as the sensor data, with the virtual data. 
3. The data fusion system of any preceding Claim in which fused or integrated (i) sensor data and/or control data and (ii) the virtual data is supplied to a real-world vehicle control system that controls the vehicle in dependence on that fused or integrated data input. 
4. The data fusion system of any preceding Claim in which the vehicle is configured to respond autonomously to the fused or integrated (i) sensor data and/or control data and (ii) the virtual data. 
5. The data fusion system of any preceding Claim in which data generated by the vehicle control system is fused or integrated with (i) the sensor data and/or control data and (ii) the virtual data. 
6. The data fusion system of any preceding Claim in which data fusion or integration takes places with near zero latency. 
7. The data fusion system of any preceding Claim in which data handling components (“data infusers”) perform the function of any of: (i) handling the virtual data; (ii) passing that 
 virtual data into vehicle sub-systems that handle the sensor data and/or control data so that the virtual data can be fused, merged or integrated with the sensor data and/or control data. World model 
8. The data fusion system of any preceding Claim which fuses or integrates into a single world model the (i) sensor data and/or control data and (ii) the virtual data. 
9. The data fusion system of preceding Claim 8 in which the single world model is a fused spatially-mapped world that is a single unified representation of a global state that reconciles any differences in (i) the sensor data and/or control data and (ii) the virtual data. 
10. The data fusion system of preceding Claim 8 or 9 which uses a world model that is generated from (i) a real-world source or sources, including a spatially mapped real-world region and (ii) a virtual world source or sources, including a spatially mapped virtual-world region that corresponds to the real-world region. 
11. The data fusion system of preceding Claim 8 - 10 in which the world model is resident or stored in memory that is (i) wholly in the vehicle or (ii) is distributed between in-vehicle memory and memory external to the vehicle, or (iii) is wholly outside of the vehicle. 
12. The data fusion system of any preceding Claim 8 - 11 in which the world model comprises one or more of the following: objects, conditions and events; where objects specify spatially-mapped elements or things in the real and virtual worlds; conditions characterise the ambient environment in spatially-mapped regions of the real and virtual worlds; and events specify how objects behave or react in defined circumstances. 
13. The data fusion system of any preceding Claim 8 - 12 which predicts the next most probable state of an object in the world model. 
14. The data fusion system of any preceding Claim 8 - 13 in which the next most probable state of an object in the world model is predicted using one or more of the following techniques: dead reckoning, methods of mathematical extrapolation, Kalman filtering, deep learning 
 inference and specific problem-solving methods like Pacejka models for vehicle tyre dynamics or SLAM for localisation in unknown environments. 
15. The data fusion system of any preceding Claim 8 - 14 in which the data fusion system performs real-time data processing and computation of the next most probable state, but only for those objects that are momentarily involved in actions that modify or form a local world model. Virtual world 
16. The data fusion system of any preceding Claim in which the spatially-mapped virtual data is generated within a spatially-mapped virtual world. 
17. The data fusion system of preceding Claim 16 in which the virtual world is created in a system that is external to the vehicle, is controlled independently of the vehicle and is not generated by the vehicle or any sensor or control systems in the vehicle. 
18. The data fusion system of preceding Claim 16 or 17 in which the virtual world resides wholly externally to the vehicle and shares the same spatial mapping or otherwise corresponds to the world model that is resident or stored in memory that is (i) wholly in the vehicle or (ii) is distributed between in-vehicle memory and memory external to the vehicle, or (iii) is wholly outside of the vehicle. 
19. The data fusion system of preceding Claim 16 - 18 in which the virtual data includes data that mirrors, spatially matches or spatially relates at least in part to the world in which the vehicle moves or operates. 
20. The data fusion system of preceding Claim 16 - 19 in which the virtual data includes one or more of events, conditions or objects which present, or provide data to be fused with data from, some or all of the in-vehicle sensors so that the in-vehicle sensors react as though they are actual real-world events, conditions or objects. 
21. The data fusion system of preceding Claim 16 - 20 in which the virtual data includes one or more of events, conditions or objects which present to a real-world vehicle control 
 system as though they are actual events, conditions or objects detected by some or all of the in- vehicle sensors. 
22. The data fusion system of preceding Claim 16 - 21 in which the virtual data includes one or more of events, conditions or objects which are added in order to test how effectively the real-world vehicle control or planning and control system reacts to the events, conditions or objects. 
23. The data fusion system of preceding Claim 16 - 22 in which the virtual data includes objects which the vehicle has to avoid, such as virtual people, cones, barriers, signage, buildings, or other vehicles. 
24. The data fusion system of preceding Claim 16 - 23 in which the virtual data includes objects and/or conditions which the vehicle has to react to, such as rain, fog, ice, uneven road surfaces. 
25. The data fusion system of preceding Claim 16 - 24 in which the virtual data includes objects or loots which the vehicle has to pass through, such as route paths, intersections, entrances and exits. 
26. The data fusion system of preceding Claim 16 - 25 in which the virtual data includes objects or loots which the vehicle has to pass through in order to earn points in a race, game or competition. 
27. The data fusion system of preceding Claim 16 - 26 in which the virtual data includes objects or loots which the vehicle has to pass through in order to earn points in a race, game or competition and these are positioned close to virtual or real objects which the vehicle has to avoid, such as virtual people, barriers, signage, or other vehicles. 
28. The data fusion system of preceding Claim 16 - 27 in which the virtual data includes objects or loots and/or conditions to form part of a media entertainment, such as eSports streaming, television, games, film. 
29. The data fusion system of preceding Claim 16 - 28 in which the virtual data includes one or more of objects and/or conditions to form part of a vehicle testing or development program. Real-world 
30. The data fusion system of any preceding Claim which processes data that includes any of the following: the real-world locations of other vehicles, robots, drones and people, the local topography, the route or road the vehicle is travelling along, any other the status of traffic lights, the time of day, weather conditions, type of road, weather, location of parking bays, and garages. Agents 
31. The data fusion system of any preceding Claim which uses agents that are responsible for tracking objects or events or condition added or injected into the world model. 
32. The data fusion system of preceding Claim 31 where agents have their own local world model that tracks the objects, events or conditions relevant to the state and behaviour of each agent. 
33. The data fusion system of preceding Claim 31 or 32 where agents share their state and behaviour with other agents. 
34. The data fusion system of preceding Claim 31 - 33 where the agents are responsible for tracking objects, events and condition added or injected into the world model. 
35. The data fusion system of preceding Claim 31 - 34 where the agents are responsible for handling errors. 
36. The data fusion system of preceding Claim 31 - 35 where a single agent corresponds to or represents a single virtual vehicle. 
37. The data fusion system of preceding Claim 31 - 36 where a world model comprises a multi-agent system including multiple virtual vehicles. Data Distribution Framework 
38. The data fusion system of any preceding Claim that uses a decentralised, data centric architecture, such as an OMGDDS framework, to handle or transfer one or more of the sensor data, control data and the virtual data. 
39. The data fusion system of preceding Claim 38 where tunnelling DDS data packets are tunnelled through non-IP networks including, but not limited to, industrial M2M (machine-to- machine) protocols, V2X (vehicle-to-everything), CAN, FlexRay and others. 
40. The data fusion system of preceding Claim 38 or 39 where a data distribution framework provides a connectivity method with a boosted stack of protocols for Vehicle-to- Everything (V2X) communication that extends the capabilities and performance of existing V2X systems with one or more of the following features: Ability to broadcast messages as frequent as every 10 milliseconds; extended message format enabling signalling via V2X radio transparently to regular V2X systems and not affecting their work; DDS tunnelling over IEEE 802. l ip and 3GPP C-V2X; Universal Over-The-Top (OTT) data transmission via V2X radio for any UDP and TCP connectivity in a transparent way to regular V2X systems without affecting their work. Data Infusion Framework 
41. The data fusion system of any preceding Claim that uses an extensible toolkit of reusable software and hardware components designed to provide a standard way to build and deploy real-time data infusers for various control and sensor systems allowing infusion of artificial virtual data into normal data. 
42. The data fusion system of preceding Claim 41 that provides data infusion logic for OMG Data Distribution Service. 
43. The data fusion system of any preceding Claim 41 - 42 that provides data infusion logic for Vehicle-to-Everything (V2X) communication. 
44. The data fusion system of any preceding Claim 41 - 43 that provides data infusion logic for automotive“Universal Measurement and Calibration Protocol” (e.g. ASAM MCD-1 XCP) connecting measurement and calibration systems to vehicle ECUs. Data Infusers 
45. The data fusion system of any preceding Claim which includes data infusers, which are plug-in components for ingesting data that represents any of the following virtual data: virtual objects, conditions or events. 
46. The data fusion system of preceding Claim 45 in which data infusers supply or provide virtual data to be fused with real-world sensor and/or control data. 
47. The data fusion system of preceding Claim 45 - 46 in which the data infusers provide data to a real-world vehicle control system that processes (i) the virtual data, or (ii) the fused or integrated virtual and sensor and/or control data, as real data or equivalent to real-world data. 
48. The data fusion system of preceding Claim 45 - 47 in which the data infusers maintain their data sampling rates and resolution independently of one another. 
49. The data fusion system of preceding Claim 45 - 48 which the data infusers maintain coherency of computation in self-organized mesh networks of data infuser components. 
50. The data fusion system of preceding Claim 45 - 49 which the data infusers for processing sensor data are specifically designed for various types of sensors used in robotics and automotive including, but not limited to, radars, LIDARs, ultrasound, computer vision and stereo vision cameras. 
51. The data fusion system of preceding Claim 50 in which the sensor data includes: image- based sensor signals, including any sensors that output 2D serial images; sensor signals based 
 on point-clouds, including data from LIDARs, computer vision systems and stereo-cameras; sensor signals based on serial data, including ultrasonic sensors, radar, temperature, and velocity sensors. Representation Framework 
52. The data fusion system of any preceding Claim which includes a representation framework, which is an extensible toolkit of reusable software integration adaptors providing an immersive representation of the virtual world to end-users via user interfaces, and/or interactive platforms and/or devices. 
53. The data fusion system of preceding Claim 52 in which the representation framework is capable of integration with user interfaces including, but not limited to, single- or multi screen video displays, mobile terminals and remote controllers, VR/AR headsets, user motion trackers, direct manipulation and tangible interfaces. 
54. The data fusion system of preceding Claim 52 - 53 in which the representation framework includes a software integration toolkit having a multi-layered structure of world model representations, where various properties of objects have affinities to specific representation layers and each of these layers can be assigned to a specific representation method, which is served by specific user interface components and respective devices. 
55. The data fusion system of preceding Claim 54 in which a basic representation layer is a set of video-streams transmitted from cameras installed on a real-world vehicle racetrack and giving various points of view, and on top of this basic layer there are one or more representation layers or overlays visualising virtual objects for various media channels, and these virtual overlays are be applied to the underlying video streams using appropriate tools, devices and user-interfaces, so that a blended scene results that combines real and virtual objects. Vehicle control 
56. The data fusion system of any preceding Claim configured to work with a vehicle that includes a real-world Automated Driving System (ADS) planning and control system (“ADS Planning and Control layer”) that controls or actuates systems in the vehicle, such as steering, 
 brakes, accelerometer and that real-world planning and control system takes inputs from the data fusion system. 
57. The data fusion system of preceding Claim 56 where the vehicle includes an ADS that generates a local world model that processes real-world data, and the ADS provides input data to the data fusion system, which in turn provides input data to a real-world planning and control system. 
58. The data fusion system of preceding Claim 56 or 57 where a local world model in an ADS sends data to, and an ADS Planning and Control layer receives data from, an external world model or virtual world. 
59. The data fusion system of preceding Claim 56 - 58 where the local world model in the ADS sends data to and the ADS Planning and Control layer receives data from, a world model that is an embedded portion or sub-system of the ADS. 
60. The data fusion system of preceding Claim 56 -59 where the local world model in the ADS sends data to, and the ADS Planning and Control layer receives data from, both an external world model and also a world model that is an embedded portion or sub-system of the ADS 
61. The data fusion system of preceding Claim 56 - 60 where the world model enables the injection of any of the following; virtual objects, virtual paths, virtual routes, into the ADS which the ADS then includes in its control and planning operations. 
62. The data fusion system of preceding Claim 56 - 61 where the local world model sends data over an OMG DDS databus or similar real-time communication middleware. 
63. The data fusion system of preceding Claim 56 - 62 where the output of the world model matches the expected inputs of the ADS Planning and Control normally received from the local world model and in this mode the ADS Planning and Control has no indication whether an object is real or virtual. 
64. The data fusion system of preceding Claim 57 - 63 where the output of the world model matches the expected inputs of the ADS Planning and Control normally received from the local world model with additional flags that indicate whether an object is real or virtual and in this mode the ADS Planning and Control system is adapted to take advantage of this additional object information. Vehicle 
65. The data fusion system of any preceding Claim configured to work with a vehicle that is a car, plane, land vehicle, delivery vehicle, bus, sea vehicle, drone, robot, or other self- propelled device. 
66. The data fusion system of preceding Claim 65 where the vehicle is an autonomous car, plane, land vehicle, delivery vehicle, bus, sea vehicle, drone, robot, or other self-propelled device. 
67. The data fusion system of preceding Claim 65 - 66 where the vehicle is a racing vehicle. 
68. The data fusion system of preceding Claim 65 - 67 where the vehicle is one of several mechanically similar racing vehicles with each have different control systems or software sub systems for those control systems, and the different vehicles compete to react in an optimal manner to the same new virtual data supplied to each of them. 
69. The data fusion system of preceding Claim 65 - 68 where the vehicle is an autonomous car, plane, vehicle, drone, robot, or other self-propelled device configured to film or record other vehicles that are racing. 
70. The data fusion system of preceding Claim 65 - 69 where the vehicle is driven or piloted by a human and a display in the vehicle shows some or all of the virtual world to that human driver or pilot. Audience experience 
71. The data fusion system of any preceding Claim configured to enable a spectator, viewer, participant or controller of an event featuring the vehicle(s) to view, on a display, both the real-world vehicle and anything generated in the virtual world, such as objects or conditions which the vehicle interacts with. 
72. The data fusion system of any preceding Claim configured to enable a spectator, viewer, participant or controller of an event featuring the vehicle(s) to view both the real-world vehicle and, on a display, such as an augmented reality headset or glasses, anything generated in the virtual world, such as objects or conditions which the vehicle interacts with. 
73. The data fusion system of any preceding Claim 71 or 72 in which the spectator, viewer, participant or controller of an event featuring the vehicle(s) is able to navigate through the fused real and virtual worlds to alter their view of that fused world. 
74. The data fusion system of any preceding Claim 71 - 73 in which the spectator, viewer, participant or controller is able to navigate through the fused real and virtual worlds to alter the view of that fused world that they are viewing, filming or recording or streaming. 
75. The data fusion system of any preceding Claim 71 - 74 in which the spectator, viewer, participant or controller of an event featuring the vehicle(s) is able to add or control in the virtual world any one or more of the following: (a) objects which are added in order to test how effectively the real-world control system reacts to the objects; (b) objects which the vehicle has to avoid, such as virtual people, barriers, signage, or other vehicles. 
76. The data fusion system of any preceding Claim 71 - 75 in which the spectator, viewer, participant or controller of an event featuring the vehicle(s) is able to add or control in the virtual world objects or loots which the vehicle has to pass through, such as route paths, entrances and exits. 
77. The data fusion system of any preceding Claim 71 - 76 in which the spectator, viewer, participant or controller of an event featuring the vehicle(s) is able to add or control in the virtual world objects or loots which the vehicle has to pass through in order to earn points in a race, game or competition. 
78. The data fusion system of any preceding Claim 71 - 77 in which the spectator, viewer, participant or controller of an event featuring the vehicle(s) is able to add or control in the virtual world objects or loots which the vehicle has to pass through in order to earn points in a race, game or competition and these are positioned close to virtual or real objects which the vehicle has to avoid, such as virtual people, barriers, signage, or other vehicles. 
79. A vehicle that includes a data fusion system as defined in Claim 1- 78. 
80. A method of developing, improving or testing a vehicle, in which the vehicle includes a data fusion system as defined in Claim 1- 78 and virtual objects, events or conditions are added to the virtual world processed by the data fusion system to test how the vehicle responds to those virtual objects, events or conditions. 
81. A vehicle that has been developed, improved or tested using the method defined in Claim in Claim 1- 78. Game or entertainment system 
82. A game or entertainment system, the system generating images that display or otherwise feature a vehicle that includes a data fusion system as defined in Claim 1 - 78 above or a vehicle as defined in Claim 79 or 81. 
83. The game or entertainment system of Claim 82 in which an AV or human-driven real- world vehicle, or AI-assisted human-driven real-world vehicle, races in a real-world driving region; and there is (i) a virtual-world representation of that real-world driving region, and (ii) a virtual vehicle racing against the real-world vehicle, and in which the real-world vehicle reacts to the virtual vehicle as though the virtual vehicle is present in the real-world and the virtual vehicle reacts to the real-world vehicle as though the real-world vehicle is present in the virtual-world. 
84. The game or entertainment system of Claim 82 - 83 in which there is a real-world, full size vehicle in a real-world driving region and also a virtual-world representation of that real- world driving region, and in which the real-world vehicle reacts to control inputs from a user in a simulator or wearing an AR or VR headset. 
85. The game or entertainment system of Claim 82 - 84 in which self-driving cars compete against virtual cars controlled by eSports stars safely located inside driver-in-the-loop simulators. 
86. The game or entertainment system of Claim 82 - 85 in which human drivers with augmented reality displays compete against virtual vehicles controlled by eSports stars safely located inside driver-in-the-loop simulators. 
87. The game or entertainment system of Claim 82 - 86 in which eSports drivers in simulators directly control physical cars at various levels of control abstraction; operational, tactical and strategic depending upon communication latencies. 
88. The game or entertainment system of Claim 82 - 86 in which several mechanically similar racing vehicles with each have different control systems or software sub-systems for those control systems compete against one another to react in an optimal manner to the same new virtual data supplied to each of them. 
89. The game or entertainment system of Claim 88 in which the virtual data includes one or more of events, conditions or objects which present, or provide data to be fused with data from, some or all of the in-vehicle sensors so that the in-vehicle sensors react as though they are actual real-world events, conditions or objects. 
90. The game or entertainment system of Claim 88 - 89 in which the virtual data includes one or more of events, conditions or objects which present to a real-world vehicle control system as though they are actual events, conditions or objects detected by some or all of the in- vehicle sensors. 
91. The game or entertainment system of Claim 88 - 90 in which the virtual data includes one or more of events, conditions or objects which are added in order to test how effectively the real-world vehicle control system reacts to the events, conditions or objects. 
92. The game or entertainment system of Claim 88 - 91 in which the virtual data includes objects which the vehicle has to avoid, such as virtual people, cones, barriers, signage, buildings, or other vehicles. 
93. The game or entertainment system of Claim 88 - 92 in which the virtual data includes objects and/or conditions which the vehicle has to react to, such as rain, fog, ice, uneven road surfaces. 
94. The game or entertainment system of Claim 88 -93 in which the virtual data includes objects or loots which the vehicle has to pass through, such as route paths, intersections, entrances and exits. 
95. The game or entertainment system of Claim 88 - 94 in which the virtual data includes objects or loots which the vehicle has to pass through in order to earn points in a race, game or competition. 
96. The game or entertainment system of Claim 88 - 95 in which the virtual data includes objects or loots which the vehicle has to pass through in order to earn points in a race, game or competition and these are positioned close to virtual or real objects which the vehicle has to avoid, such as virtual people, barriers, signage, or other vehicles. 
97. The game or entertainment system of Claim 88 - 96 in which the virtual data includes objects and/or conditions to form part of a media entertainment, such as eSports streaming, television, games, film. 
98. The game or entertainment system of Claim 88 - 97 in which a spectator, viewer, participant or controller of an event featuring the vehicle(s) is able to view, on a display, both the real-world vehicle and any objects generated in the virtual world, such as objects or conditions which the vehicle interacts with. 
99. The game or entertainment system of Claim 88 - 98 in which a spectator, viewer, participant or controller of an event featuring the vehicle(s) is able to view both the real-world vehicle and, on a display, such as an augmented reality headset or glasses, any objects generated in the virtual world, such as objects or conditions which the vehicle interacts with. 
100. The game or entertainment system of Claim 88 - 99 in which a spectator, viewer, participant or controller of an event featuring the vehicle(s) is able to navigate through the fused real and virtual worlds to alter their view of that fused world. 
101. The game or entertainment system of Claim 88 - 100 in which a spectator, viewer, participant or controller is able to navigate through the fused real and virtual worlds to alter the view of that fused world that they are viewing, filming or recording or streaming. 
102. The game or entertainment system of Claim 88 - 101 in which spectator, viewer, participant or controller of an event featuring the vehicle(s) is able to add or control in the virtual world any one or more of the following: (a) objects which are added in order to test how effectively the real-world control system reacts to the objects; (b) objects which the vehicle has to avoid, such as virtual people, barriers, signage, or other vehicles. 
103. The game or entertainment system of Claim 88 - 102 in which a spectator, viewer, participant or controller of an event featuring the vehicle(s) is able to add or control in the virtual world objects which the vehicle has to pass through, such as route paths, entrances and exits. 
104. The game or entertainment system of Claim 88 - 103 in which a spectator, viewer, participant or controller of an event featuring the vehicle(s) is able to add or control in the virtual world objects or loots which the vehicle has to pass through in order to earn points in a race, game or competition. 
105. The game or entertainment system of Claim 88 - 104 in which a spectator, viewer, participant or controller of an event featuring the vehicle(s) is able to add or control in the virtual world objects or loots which the vehicle has to pass through in order to earn points in a race, game or competition and these are positioned close to virtual or real objects which the vehicle has to avoid, such as virtual people, barriers, signage, or other vehicles.</t>
  </si>
  <si>
    <t>Sokolov, Mikhail|Balcombe, Bryn</t>
  </si>
  <si>
    <t>AE, AG, AL, AM, AO, AT, AU, AZ, BA, BB, BG, BH, BN, BR, BW, BY, BZ, CA, CH, CL, CN, CO, CR, CU, CZ, DE, DJ, DK, DM, DO, DZ, EC, EE, EG, ES, FI, GB, GD, GE, GH, GM, GT, HN, HR, HU, ID, IL, IN, IR, IS, JO, JP, KE, KG, KH, KN, KP, KR, KW, KZ, LA, LC, LK, LR, LS, LU, LY, MA, MD, ME, MG, MK, MN, MW, MX, MY, MZ, NA, NG, NI, NO, NZ, OM, PA, PE, PG, PH, PL, PT, QA, RO, RS, RU, RW, SA, SC, SD, SE, SG, SK, SL, ST, SV, SY, TH, TJ, TM, TN, TR, TT, TZ, UA, UG, US, UZ, VC, VN, WS, ZA, ZM, ZW</t>
  </si>
  <si>
    <t>G06Q0010063500</t>
  </si>
  <si>
    <t>G06Q0010063500 | B60W0060001500 | B60W0050045000 | B60W2552050000 | B60W2552500000 | B60W2554200000 | B60W2554402900 | B60W2555200000 | B60W2555600000 | B60W2556350000</t>
  </si>
  <si>
    <t>GB201906813D0|WO2020229841A1|CN114223008A|EP3983969A1|US20220242450A1|JP2022533637A</t>
  </si>
  <si>
    <t>GB201906813 D | WO2020229841 A1 | CN114223008 A | EP3983969 A1 | US20220242450 A1 | JP2022533637 A</t>
  </si>
  <si>
    <t>I-000203555826</t>
  </si>
  <si>
    <t>30 months from 2019-05-16 (priority date)</t>
  </si>
  <si>
    <t>https://patentscout.innography.com/share/yZZDzRwpS0e3BKfRtoo9cA%3D%3D</t>
  </si>
  <si>
    <t>2020-12-30-EP: THE EPO HAS BEEN INFORMED BY WIPO THAT EP WAS DESIGNATED IN THIS APPLICATION|2021-11-12-ENTRY INTO THE NATIONAL PHASE|2021-11-16-NON-ENTRY INTO THE NATIONAL PHASE|2021-12-17-ENTRY INTO THE NATIONAL PHASE</t>
  </si>
  <si>
    <t>https://patentscout.innography.com/share/yZZDzRwpS0e3BKfRtoo9cA%3D%3D/download</t>
  </si>
  <si>
    <t>https://v3.espacenet.com/publicationDetails/biblio?CC=WO&amp;NR=2020229841A1&amp;KC=A1&amp;FT=D&amp;date=20201119&amp;DB=EPODOC&amp;locale=</t>
  </si>
  <si>
    <t>WO2020148452 A1</t>
  </si>
  <si>
    <t>GB201906813 D0</t>
  </si>
  <si>
    <t>1. A data fusion system for use in a real-world vehicle, in which the vehicle includes multiple data sources that generate sensor data that is spatially-mapped to a real-world region; and in which the data fusion system is configured to fuse or integrate (i) the spatially-mapped sensor data with (ii) virtual data that has been generated outside of the vehicle or, whether inside or outside of the vehicle, has been generated independently of the vehicle or the operation of the vehicle, and is also spatially-mapped to a virtual world. Data fusion</t>
  </si>
  <si>
    <t>3. The data fusion system of any preceding Claim in which fused or integrated (i) sensor data and/or control data and (ii) the virtual data is supplied to a real-world vehicle control system that controls the vehicle in dependence on that fused or integrated data input.</t>
  </si>
  <si>
    <t>4. The data fusion system of any preceding Claim in which the vehicle is configured to respond autonomously to the fused or integrated (i) sensor data and/or control data and (ii) the virtual data.</t>
  </si>
  <si>
    <t>5. The data fusion system of any preceding Claim in which data generated by the vehicle control system is fused or integrated with (i) the sensor data and/or control data and (ii) the virtual data.</t>
  </si>
  <si>
    <t>6. The data fusion system of any preceding Claim in which data fusion or integration takes places with near zero latency.</t>
  </si>
  <si>
    <t>7. The data fusion system of any preceding Claim in which data handling components (“data infusers”) perform the function of any of: (i) handling the virtual data; (ii) passing that 
 virtual data into vehicle sub-systems that handle the sensor data and/or control data so that the virtual data can be fused, merged or integrated with the sensor data and/or control data. World model</t>
  </si>
  <si>
    <t>8. The data fusion system of any preceding Claim which fuses or integrates into a single world model the (i) sensor data and/or control data and (ii) the virtual data.</t>
  </si>
  <si>
    <t>16. The data fusion system of any preceding Claim in which the spatially-mapped virtual data is generated within a spatially-mapped virtual world.</t>
  </si>
  <si>
    <t>30. The data fusion system of any preceding Claim which processes data that includes any of the following: the real-world locations of other vehicles, robots, drones and people, the local topography, the route or road the vehicle is travelling along, any other the status of traffic lights, the time of day, weather conditions, type of road, weather, location of parking bays, and garages. Agents</t>
  </si>
  <si>
    <t>31. The data fusion system of any preceding Claim which uses agents that are responsible for tracking objects or events or condition added or injected into the world model.</t>
  </si>
  <si>
    <t>38. The data fusion system of any preceding Claim that uses a decentralised, data centric architecture, such as an OMGDDS framework, to handle or transfer one or more of the sensor data, control data and the virtual data.</t>
  </si>
  <si>
    <t>41. The data fusion system of any preceding Claim that uses an extensible toolkit of reusable software and hardware components designed to provide a standard way to build and deploy real-time data infusers for various control and sensor systems allowing infusion of artificial virtual data into normal data.</t>
  </si>
  <si>
    <t>45. The data fusion system of any preceding Claim which includes data infusers, which are plug-in components for ingesting data that represents any of the following virtual data: virtual objects, conditions or events.</t>
  </si>
  <si>
    <t>52. The data fusion system of any preceding Claim which includes a representation framework, which is an extensible toolkit of reusable software integration adaptors providing an immersive representation of the virtual world to end-users via user interfaces, and/or interactive platforms and/or devices.</t>
  </si>
  <si>
    <t>56. The data fusion system of any preceding Claim configured to work with a vehicle that includes a real-world Automated Driving System (ADS) planning and control system (“ADS Planning and Control layer”) that controls or actuates systems in the vehicle, such as steering, 
 brakes, accelerometer and that real-world planning and control system takes inputs from the data fusion system.</t>
  </si>
  <si>
    <t>65. The data fusion system of any preceding Claim configured to work with a vehicle that is a car, plane, land vehicle, delivery vehicle, bus, sea vehicle, drone, robot, or other self- propelled device.</t>
  </si>
  <si>
    <t>71. The data fusion system of any preceding Claim configured to enable a spectator, viewer, participant or controller of an event featuring the vehicle(s) to view, on a display, both the real-world vehicle and anything generated in the virtual world, such as objects or conditions which the vehicle interacts with.</t>
  </si>
  <si>
    <t>72. The data fusion system of any preceding Claim configured to enable a spectator, viewer, participant or controller of an event featuring the vehicle(s) to view both the real-world vehicle and, on a display, such as an augmented reality headset or glasses, anything generated in the virtual world, such as objects or conditions which the vehicle interacts with.</t>
  </si>
  <si>
    <t>2040-05-15</t>
  </si>
  <si>
    <t>EP20734435A</t>
  </si>
  <si>
    <t>AL, AT, BE, BG, CH, CY, CZ, DE, DK, EE, ES, FI, FR, GB, GR, HR, HU, IE, IS, IT, LI, LT, LU, LV, MC, MK, MT, NL, NO, PL, PT, RO, RS, SE, SI, SK, SM, TR</t>
  </si>
  <si>
    <t>EP</t>
  </si>
  <si>
    <t>$7766</t>
  </si>
  <si>
    <t>I-000223892151</t>
  </si>
  <si>
    <t>20 years from 2020-05-15 (file date)</t>
  </si>
  <si>
    <t>https://patentscout.innography.com/share/dxZ8jwZUniiiQe489nv-sA%3D%3D</t>
  </si>
  <si>
    <t>2020-07-03-INFORMATION ON THE STATUS OF AN EP PATENT APPLICATION OR GRANTED EP PATENT|2020-11-20-INFORMATION ON THE STATUS OF AN EP PATENT APPLICATION OR GRANTED EP PATENT|2022-03-18-PUBLIC REFERENCE MADE UNDER ARTICLE 153(3) EPC TO A PUBLISHED INTERNATIONAL APPLICATION THAT HAS ENTERED THE EUROPEAN PHASE|2022-03-18-INFORMATION ON THE STATUS OF AN EP PATENT APPLICATION OR GRANTED EP PATENT|2022-04-20-REQUEST FOR EXAMINATION FILED|2022-04-20-DESIGNATED CONTRACTING STATES|2022-08-24-REQUEST FOR VALIDATION OF THE EUROPEAN PATENT (DELETED)|2022-08-24-REQUEST FOR EXTENSION OF THE EUROPEAN PATENT (DELETED)</t>
  </si>
  <si>
    <t>https://patentscout.innography.com/share/dxZ8jwZUniiiQe489nv-sA%3D%3D/download</t>
  </si>
  <si>
    <t>https://v3.espacenet.com/publicationDetails/biblio?CC=EP&amp;NR=3983969A1&amp;KC=A1&amp;FT=D&amp;date=20220420&amp;DB=EPODOC&amp;locale=</t>
  </si>
  <si>
    <t>PCT/GB2020/051198</t>
  </si>
  <si>
    <t>EP03983969 A1</t>
  </si>
  <si>
    <t>EP Applications</t>
  </si>
  <si>
    <t>US20210225171 A1</t>
  </si>
  <si>
    <t>2022-08-04</t>
  </si>
  <si>
    <t>A real-world vehicle includes multiple data sources that generate sensor data that is spatially-mapped to a real-world region; a data fusion system is configured to fuse or integrate (i) the spatially-mapped sensor data with (ii) virtual data that has been generated outside of the vehicle or generated independently of the operation of the vehicle and is spatially-mapped to a virtual world. This enables a fusion of the real and virtual worlds which enables a self-driving car to interact not only with the physical world but also to virtual objects introduced into the path of the car (e.g. by a test or development engineer) to test how well the car and its autonomous driving systems cope with the virtual object.</t>
  </si>
  <si>
    <t>Metaverse data fusion system</t>
  </si>
  <si>
    <t>US17/611480</t>
  </si>
  <si>
    <t xml:space="preserve">A data fusion system for use in a real-world vehicle, in which the vehicle includes multiple in-vehicle sensors that generate spatially-mapped sensor data that is spatially-mapped to a real-world region; and in which the data fusion system is configured to fuse or integrate (i) the spatially-mapped sensor data with (ii) virtual data that has been generated outside of the vehicle or, whether inside or outside of the vehicle, has been generated independently of the vehicle or the operation of the vehicle, and is also spatially-mapped to a virtual world;
and in which the virtual data includes one or more of: events, conditions or objects which each present, or provide data to be fused with data from, some or all of the in-vehicle sensors so that the in-vehicle sensors react as though they are actual real-world events, conditions or objects;
and where objects specify spatially-mapped elements or things in the real and virtual worlds; conditions characterise the ambient environment in spatially-mapped regions of the real and virtual worlds; and events specify how objects behave or react in defined circumstances.
</t>
  </si>
  <si>
    <t>1. A data fusion system for use in a real-world vehicle, in which the vehicle includes multiple in-vehicle sensors that generate spatially-mapped sensor data that is spatially-mapped to a real-world region; and in which the data fusion system is configured to fuse or integrate (i) the spatially-mapped sensor data with (ii) virtual data that has been generated outside of the vehicle or, whether inside or outside of the vehicle, has been generated independently of the vehicle or the operation of the vehicle, and is also spatially-mapped to a virtual world;
and in which the virtual data includes one or more of: events, conditions or objects which each present, or provide data to be fused with data from, some or all of the in-vehicle sensors so that the in-vehicle sensors react as though they are actual real-world events, conditions or objects;
and where objects specify spatially-mapped elements or things in the real and virtual worlds; conditions characterise the ambient environment in spatially-mapped regions of the real and virtual worlds; and events specify how objects behave or react in defined circumstances.
2. The data fusion system of claim 1 in which there are data sources that generate control data and in which the data fusion system is further configured to fuse or integrate the control data, as well as the sensor data, with the virtual data.
3. The data fusion system of claim 1 in which fused or integrated (i) sensor data and/or control data and (ii) the virtual data is supplied to a real-world vehicle control system that controls the vehicle in dependence on that fused or integrated data input.
4. The data fusion system of claim 1 in which the vehicle is configured to respond autonomously to the fused or integrated (i) sensor data and/or control data and (ii) the virtual data.
5-7. (canceled)
8. The data fusion system of claim 1 which fuses or integrates into a single world model the (i) sensor data and/or control data and (ii) the virtual data.
9. The data fusion system of preceding claim 8 in which the single world model is a fused spatially-mapped world that is a single unified representation of a global state that reconciles any differences in (i) the sensor data and/or control data and (ii) the virtual data.
10. The data fusion system of claim 8 which uses a world model that is generated from (i) a real-world source or sources, including a spatially mapped real-world region and (ii) a virtual world source or sources, including a spatially mapped virtual-world region that corresponds to the real-world region.
11-21. (canceled)
22. The data fusion system of claim 1 in which the virtual data includes one or more of events, conditions or objects which are added in order to test how effectively the real-world vehicle control or planning and control system reacts to the events, conditions or objects.
23. The data fusion system of claim 1 in which the virtual data includes objects which the vehicle has to avoid, such as virtual people, cones, barriers, signage, buildings, or other vehicles.
24. The data fusion system of claim 1 in which the virtual data includes objects and/or conditions which the vehicle has to react to, such as rain, fog, ice, uneven road surfaces.
25. The data fusion system of claim 1 in which the virtual data includes objects or loots which the vehicle has to pass through, such as route paths, intersections, entrances and exits.
26. The data fusion system of claim 1 in which the virtual data includes objects or loots which the vehicle has to pass through in order to earn points in a race, game or competition.
27. The data fusion system of claim 1 in which the virtual data includes objects or loots which the vehicle has to pass through in order to earn points in a race, game or competition and these are positioned close to virtual or real objects which the vehicle has to avoid, such as virtual people, barriers, signage, or other vehicles.
28. The data fusion system of claim 1 in which the virtual data includes objects or loots and/or conditions to form part of a media entertainment, such as eSports streaming, television, games, film.
29. The data fusion system of claim 1 in which the virtual data includes one or more of objects and/or conditions to form part of a vehicle testing or development program.
30. The data fusion system of claim 1 which processes data that includes any of the following: the real-world locations of other vehicles, robots, drones and people, the local topography, the route or road the vehicle is travelling along, any other the status of traffic lights, the time of day, weather conditions, type of road, weather, location of parking bays, and garages.
31-64. (canceled)
65. The data fusion system of claim 1 configured to work with a vehicle that is a car, plane, land vehicle, delivery vehicle, bus, sea vehicle, drone, robot, or other self-propelled device.
66. The data fusion system of preceding claim 65 where the vehicle is an autonomous car, plane, land vehicle, delivery vehicle, bus, sea vehicle, drone, robot, or other self-propelled device.
67. The data fusion system of claim 65 where the vehicle is a racing vehicle.
68. The data fusion system of claim 65 where the vehicle is one of several mechanically similar racing vehicles with each have different control systems or software sub-systems for those control systems, and the different vehicles compete to react in an optimal manner to the same new virtual data supplied to each of them.
69-78. (canceled)
79. A vehicle that includes a data fusion system as defined in claim 1.
80. A method of developing, improving or testing a vehicle, in which the vehicle includes a data fusion system as defined in claim 1 and virtual objects, events or conditions are added to the virtual world processed by the data fusion system to test how the vehicle responds to those virtual objects, events or conditions.
81-105. (canceled)</t>
  </si>
  <si>
    <t>B60W06000000</t>
  </si>
  <si>
    <t>B60W06000000 | B60W05004000</t>
  </si>
  <si>
    <t>I-000228148069</t>
  </si>
  <si>
    <t>https://patentscout.innography.com/share/f_9ZCas6FU3H-Lv_OnRCSA%3D%3D</t>
  </si>
  <si>
    <t>2022-05-25-INFORMATION ON STATUS: PATENT APPLICATION AND GRANTING PROCEDURE IN GENERAL</t>
  </si>
  <si>
    <t>https://patentscout.innography.com/share/f_9ZCas6FU3H-Lv_OnRCSA%3D%3D/download</t>
  </si>
  <si>
    <t>https://ppubs.uspto.gov/pubwebapp/external.html?q=20220242450.pn.</t>
  </si>
  <si>
    <t>US20220242450 A1</t>
  </si>
  <si>
    <t>Saul Ewing</t>
  </si>
  <si>
    <t>1. A data fusion system for use in a real-world vehicle, in which the vehicle includes multiple in-vehicle sensors that generate spatially-mapped sensor data that is spatially-mapped to a real-world region; and in which the data fusion system is configured to fuse or integrate (i) the spatially-mapped sensor data with (ii) virtual data that has been generated outside of the vehicle or, whether inside or outside of the vehicle, has been generated independently of the vehicle or the operation of the vehicle, and is also spatially-mapped to a virtual world;
and in which the virtual data includes one or more of: events, conditions or objects which each present, or provide data to be fused with data from, some or all of the in-vehicle sensors so that the in-vehicle sensors react as though they are actual real-world events, conditions or objects;
and where objects specify spatially-mapped elements or things in the real and virtual worlds; conditions characterise the ambient environment in spatially-mapped regions of the real and virtual worlds; and events specify how objects behave or react in defined circumstances.</t>
  </si>
  <si>
    <t>24. (canceled)</t>
  </si>
  <si>
    <t>27. (canceled)</t>
  </si>
  <si>
    <t>JP2002041408 A | JP2004145573 A | JP2005100053 A | JP2006030482 A | JP2007299023 A | JPH04358249 A</t>
  </si>
  <si>
    <t>JP5180415 B2 | US10409469 B2 | JPWO2012096013 A1</t>
  </si>
  <si>
    <t>2010-01-21</t>
  </si>
  <si>
    <t>2011-12-28</t>
  </si>
  <si>
    <t>2008-07-02</t>
  </si>
  <si>
    <t>A user&amp;#39;s interest in an advertisement is continued by linking an advertisement in a virtual space and an advertisement on a normal web page. Furthermore it is possible to provide an advertisement distribution server and method capable of measuring a page view for an advertisement placed in a virtual space and evaluating an advertisement effect.  An advertisement distribution server 1 receives an advertisement distribution request from a user terminal 2 that displays a Web page 402 having an advertisement frame 412 and authenticates a user of the user terminal 2. Further it is determined the user authenticated in the virtual space 401 the user of the user terminal 2 that is authenticated in the Web page 402 the identity of the. When it is determined that they are the same user the second advertisement for displaying the advertising space 412 on the web page 402 related to the first advertisement data for displaying the virtual space advertisement 411 in the virtual space 401. Data is selected and distributed to the user terminal 2.  [Selection] Figure 3</t>
  </si>
  <si>
    <t>Advertisement distribution server and method for displaying advertisement viewed by user inside metaverse in web page</t>
  </si>
  <si>
    <t>Yahoo Japan Corp</t>
  </si>
  <si>
    <t>Softbank Corp.</t>
  </si>
  <si>
    <t>Yahoo Japan Corporation</t>
  </si>
  <si>
    <t>JP2008173926A</t>
  </si>
  <si>
    <t>An advertisement distribution server that distributes advertisement data to a user terminal,  Virtual space providing means for transmitting data for displaying a virtual space on the user terminal;  Virtual space advertisement providing means for arranging first advertisement data at a predetermined position in the virtual space;  Virtual space authentication means for authenticating a user operating the user terminal;  An advertisement browsing log storage unit that stores an advertisement browsing log indicating that the first advertisement data is browsed on the user terminal in response to the first advertisement data being displayed on the user terminal;  Distribution accepting means for accepting a distribution request for a web page having an advertising space via a user terminal;  Login authentication means for authenticating the user of the user terminal that has received the distribution request;  User identity determination means for determining identity between the user authenticated by the virtual space authentication means and the user authenticated by the login authentication means;  For the same user determined by the user identity determination unit, second advertisement data related to the first advertisement data is selected based on the advertisement browsing log stored in the advertisement browsing log storage unit. Ad data selection means,  An advertisement delivery means for delivering the second advertisement data selected by the advertisement data selection means to the user terminal for display in the advertisement space in the web page that has received the delivery request;  An advertisement distribution server comprising:
  The advertisement browsing log storage means has a predetermined position in the virtual space where the first advertisement data is arranged and a position in the virtual space of an avatar corresponding to a user who operates the user terminal. And an advertisement browsing log indicating that the first advertisement data is browsed on the user terminal in response to the display of the first advertisement data on the user terminal. The advertisement distribution server according to claim 1.
  Based on the advertisement browsing log stored in the advertisement browsing log storage unit for the same user determined by the user identity determining unit, the second associated with the first advertisement data having the latest browsing time. The server according to claim 1, further comprising advertisement data selection means for selecting advertisement data.
An advertisement distribution method executed by an advertisement distribution server that distributes advertisement data to a user terminal,  Transmitting data for displaying a virtual space on the user terminal;  Arranging the first advertisement data at a predetermined position in the virtual space;  Authenticating a user in a virtual space operating the user terminal;  Storing an advertisement browsing log indicating that the first advertisement data has been viewed on the user terminal in response to the first advertisement data being displayed on the user terminal;  Receiving a distribution request for a web page having an advertising space via a user terminal;  Authenticating a user of a user terminal that has accepted the distribution request;  Determining identity between a user authenticated in the virtual space and a user authenticated upon receiving the delivery request;  Selecting second advertisement data related to the first advertisement data based on the advertisement browsing log for the users determined to be the same;  Delivering the selected second advertisement data to the user terminal for display in the advertising space in the web page that has accepted the delivery request;  An advertisement delivery method comprising:</t>
  </si>
  <si>
    <t>Yuki, Ikunari|Kodama, Taro|Takahashi, Hiroshi</t>
  </si>
  <si>
    <t>JP4848399 B2</t>
  </si>
  <si>
    <t>G06F01300000 | G06Q03002000 | G06Q03006000 | G06Q05000000 | H04M01108000</t>
  </si>
  <si>
    <t>JP2010015333A|JP4848399B2</t>
  </si>
  <si>
    <t>JP2010015333 A | JP4848399 B2</t>
  </si>
  <si>
    <t>I-000086916682</t>
  </si>
  <si>
    <t>Application expired due to grant (JP4848399 B2)</t>
  </si>
  <si>
    <t>https://patentscout.innography.com/share/dj3peq__SJneh53EOxuvcA%3D%3D</t>
  </si>
  <si>
    <t>2011-06-02-REPORT ON RETRIEVAL|2011-06-15-NOTIFICATION OF REASONS FOR REFUSAL|2011-08-11-WRITTEN AMENDMENT|2011-09-16-DECISION OF GRANT OR REJECTION WRITTEN|2011-09-28-WRITTEN DECISION TO GRANT A PATENT OR TO GRANT A REGISTRATION (UTILITY MODEL)|2011-09-29-WRITTEN DECISION TO GRANT A PATENT OR TO GRANT A REGISTRATION (UTILITY MODEL)|2011-10-20-FIRST PAYMENT OF ANNUAL FEES (DURING GRANT PROCEDURE)|2011-10-21-RENEWAL FEE PAYMENT (EVENT DATE IS RENEWAL DATE OF DATABASE)|2011-10-21-CERTIFICATE OF PATENT OR REGISTRATION OF UTILITY MODEL|2011-10-21-CERTIFICATE OF PATENT OR REGISTRATION OF UTILITY MODEL|2014-09-24-RECEIPT OF ANNUAL FEES|2015-08-25-RECEIPT OF ANNUAL FEES|2016-08-16-RECEIPT OF ANNUAL FEES|2016-11-21-WRITTEN REQUEST FOR REGISTRATION OF CHANGE OF DOMICILE|2016-11-30-WRITTEN NOTIFICATION OF REGISTRATION OF TRANSFER|2017-08-15-RECEIPT OF ANNUAL FEES|2018-08-14-RECEIPT OF ANNUAL FEES|2019-10-21-CANCELLATION BECAUSE OF NO PAYMENT OF ANNUAL FEES|2019-10-29-WRITTEN REQUEST FOR REGISTRATION OF CHANGE OF NAME|2019-12-25-WRITTEN NOTIFICATION OF REGISTRATION OF TRANSFER|2020-03-03-REQUEST FOR CHANGE OF OWNERSHIP OR PART OF OWNERSHIP|2020-03-11-WRITTEN NOTIFICATION OF REGISTRATION OF TRANSFER</t>
  </si>
  <si>
    <t>https://patentscout.innography.com/share/dj3peq__SJneh53EOxuvcA%3D%3D/download</t>
  </si>
  <si>
    <t>https://v3.espacenet.com/publicationDetails/biblio?CC=JP&amp;NR=2010015333A&amp;KC=A&amp;FT=D&amp;date=20100121&amp;DB=EPODOC&amp;locale=</t>
  </si>
  <si>
    <t>JP2010015333 A</t>
  </si>
  <si>
    <t>正林  真之</t>
  </si>
  <si>
    <t>1. An advertisement distribution server that distributes advertisement data to a user terminal,  Virtual space providing means for transmitting data for displaying a virtual space on the user terminal;  Virtual space advertisement providing means for arranging first advertisement data at a predetermined position in the virtual space;  Virtual space authentication means for authenticating a user operating the user terminal;  An advertisement browsing log storage unit that stores an advertisement browsing log indicating that the first advertisement data is browsed on the user terminal in response to the first advertisement data being displayed on the user terminal;  Distribution accepting means for accepting a distribution request for a web page having an advertising space via a user terminal;  Login authentication means for authenticating the user of the user terminal that has received the distribution request;  User identity determination means for determining identity between the user authenticated by the virtual space authentication means and the user authenticated by the login authentication means;  For the same user determined by the user identity determination unit, second advertisement data related to the first advertisement data is selected based on the advertisement browsing log stored in the advertisement browsing log storage unit. Ad data selection means,  An advertisement delivery means for delivering the second advertisement data selected by the advertisement data selection means to the user terminal for display in the advertisement space in the web page that has received the delivery request;  An advertisement distribution server comprising:</t>
  </si>
  <si>
    <t>4. An advertisement distribution method executed by an advertisement distribution server that distributes advertisement data to a user terminal,  Transmitting data for displaying a virtual space on the user terminal;  Arranging the first advertisement data at a predetermined position in the virtual space;  Authenticating a user in a virtual space operating the user terminal;  Storing an advertisement browsing log indicating that the first advertisement data has been viewed on the user terminal in response to the first advertisement data being displayed on the user terminal;  Receiving a distribution request for a web page having an advertising space via a user terminal;  Authenticating a user of a user terminal that has accepted the distribution request;  Determining identity between a user authenticated in the virtual space and a user authenticated upon receiving the delivery request;  Selecting second advertisement data related to the first advertisement data based on the advertisement browsing log for the users determined to be the same;  Delivering the selected second advertisement data to the user terminal for display in the advertising space in the web page that has accepted the delivery request;  An advertisement delivery method comprising:</t>
  </si>
  <si>
    <t>2019-10-21</t>
  </si>
  <si>
    <t>PROBLEM TO BE SOLVED: To provide an advertisement distribution server and a method allowing continuation of interest of a user to an advertisement by interlocking an advertisement of a virtual space and an advertisement of a normal Web page and allowing evaluation of advertisement effect by allowing measurement of page views to the advertisement placed in the virtual space.    SOLUTION: This advertisement distribution server 1 receives a distribution request of the advertisement from a user terminal 2 displayed with the Web page 402 having an advertisement frame 412 and authenticates a user of the user terminal 2. The advertisement distribution server 1 decides identity between a user authenticated in the virtual space 401 and the user of the user terminal 2 authenticated in the Web page 402. When deciding that the users are equal the advertisement distribution server 1 selects second advertisement data for displaying the advertisement frame 412 in the Web page 402 associated to first advertisement data for displaying the virtual space advertisement 411 in the virtual space 401 and distributes them to the user terminal 2.    COPYRIGHT: (C)2010JPO&amp;INPIT</t>
  </si>
  <si>
    <t>Advertisement distribution server and method for displaying advertisement viewed by user in metaverse on web page</t>
  </si>
  <si>
    <t>An advertisement distribution server that distributes advertisement data to a user terminal,  Virtual space providing means for transmitting data for displaying a virtual space on the user terminal;  Virtual space advertisement providing means for arranging first advertisement data at a predetermined position in the virtual space;  Virtual space authentication means for authenticating a user operating the user terminal;  An avatar providing means for providing an avatar capable of moving in the virtual space corresponding to a user operating the user terminal;  An advertisement ID for identifying the first advertisement data viewed on the user terminal based on the predetermined position of the first advertisement data displayed on the user terminal and the position of the avatar in the virtual space A browsing date and time when the first advertisement data was browsed by the user terminal, a browsing duration time that is a time when the first advertising data was browsed by the user terminal, and the browsing duration time An advertisement browsing log storage means for storing an advertisement browsing log associated with information indicating whether or not the avatar is stopped ;  Distribution accepting means for accepting a distribution request for a web page having an advertising space via a user terminal;  Login authentication means for authenticating the user of the user terminal that has received the distribution request;  User identity determination means for determining identity between the user authenticated by the virtual space authentication means and the user authenticated by the login authentication means;  For the same user determined by the user identity determination unit, second advertisement data related to the first advertisement data is selected based on the advertisement browsing log stored in the advertisement browsing log storage unit. Ad data selection means;  An advertisement delivery means for delivering the second advertisement data selected by the advertisement data selection means to the user terminal for display in the advertisement space in the web page that has received the delivery request;  An advertisement distribution server comprising:
  The advertisement browsing log storage means has a predetermined position in the virtual space where the first advertisement data is arranged and a position in the virtual space of an avatar corresponding to a user who operates the user terminal. And an advertisement browsing log indicating that the first advertisement data is browsed on the user terminal in response to the display of the first advertisement data on the user terminal. The advertisement distribution server according to claim 1.
Information indicating to the same user the user identity determination means determines the are the browse time of advertisement viewing the advertisement viewing log stored in the log storage unit the latest, and whether the avatar stoped The advertisement distribution server according to claim 1, further comprising: advertisement data selection means for selecting second advertisement data related to the first advertisement data indicating that the avatar has stopped .
An advertisement distribution method executed by an advertisement distribution server that distributes advertisement data to a user terminal,  Transmitting data for displaying a virtual space on the user terminal;  Arranging the first advertisement data at a predetermined position in the virtual space;  Authenticating a user in a virtual space operating the user terminal;  Corresponding to a user operating the user terminal, and providing an avatar movable in the virtual space in the virtual space;  An advertisement ID for identifying the first advertisement data viewed on the user terminal based on the predetermined position of the first advertisement data displayed on the user terminal and the position of the avatar in the virtual space A browsing date and time when the first advertisement data was browsed by the user terminal, a browsing duration time that is a time when the first advertising data was browsed by the user terminal, and the browsing duration time Storing an advertisement browsing log associated with information indicating whether or not the avatar has stopped ;  Receiving a distribution request for a web page having an advertising space via a user terminal;  Authenticating a user of a user terminal that has accepted the distribution request;  Determining identity between a user authenticated in the virtual space and a user authenticated upon receiving the delivery request;  Selecting the user it is determined that the same, on the basis of the advertisement viewing log, the second advertisement data associated with the first advertisement data,  Delivering the selected second advertisement data to the user terminal for display in the advertising space in the web page that has accepted the delivery request;  An advertisement delivery method comprising:</t>
  </si>
  <si>
    <t>$25051</t>
  </si>
  <si>
    <t>https://patentscout.innography.com/share/jSTlnBEBoeTFCtTl_wTxBg%3D%3D</t>
  </si>
  <si>
    <t>https://patentscout.innography.com/share/jSTlnBEBoeTFCtTl_wTxBg%3D%3D/download</t>
  </si>
  <si>
    <t>https://v3.espacenet.com/publicationDetails/biblio?CC=JP&amp;NR=4848399B2&amp;KC=B2&amp;FT=D&amp;date=20111228&amp;DB=EPODOC&amp;locale=</t>
  </si>
  <si>
    <t>1. An advertisement distribution server that distributes advertisement data to a user terminal,  Virtual space providing means for transmitting data for displaying a virtual space on the user terminal;  Virtual space advertisement providing means for arranging first advertisement data at a predetermined position in the virtual space;  Virtual space authentication means for authenticating a user operating the user terminal;  An avatar providing means for providing an avatar capable of moving in the virtual space corresponding to a user operating the user terminal;  An advertisement ID for identifying the first advertisement data viewed on the user terminal based on the predetermined position of the first advertisement data displayed on the user terminal and the position of the avatar in the virtual space A browsing date and time when the first advertisement data was browsed by the user terminal, a browsing duration time that is a time when the first advertising data was browsed by the user terminal, and the browsing duration time An advertisement browsing log storage means for storing an advertisement browsing log associated with information indicating whether or not the avatar is stopped ;  Distribution accepting means for accepting a distribution request for a web page having an advertising space via a user terminal;  Login authentication means for authenticating the user of the user terminal that has received the distribution request;  User identity determination means for determining identity between the user authenticated by the virtual space authentication means and the user authenticated by the login authentication means;  For the same user determined by the user identity determination unit, second advertisement data related to the first advertisement data is selected based on the advertisement browsing log stored in the advertisement browsing log storage unit. Ad data selection means;  An advertisement delivery means for delivering the second advertisement data selected by the advertisement data selection means to the user terminal for display in the advertisement space in the web page that has received the delivery request;  An advertisement distribution server comprising:</t>
  </si>
  <si>
    <t>4. An advertisement distribution method executed by an advertisement distribution server that distributes advertisement data to a user terminal,  Transmitting data for displaying a virtual space on the user terminal;  Arranging the first advertisement data at a predetermined position in the virtual space;  Authenticating a user in a virtual space operating the user terminal;  Corresponding to a user operating the user terminal, and providing an avatar movable in the virtual space in the virtual space;  An advertisement ID for identifying the first advertisement data viewed on the user terminal based on the predetermined position of the first advertisement data displayed on the user terminal and the position of the avatar in the virtual space A browsing date and time when the first advertisement data was browsed by the user terminal, a browsing duration time that is a time when the first advertising data was browsed by the user terminal, and the browsing duration time Storing an advertisement browsing log associated with information indicating whether or not the avatar has stopped ;  Receiving a distribution request for a web page having an advertising space via a user terminal;  Authenticating a user of a user terminal that has accepted the distribution request;  Determining identity between a user authenticated in the virtual space and a user authenticated upon receiving the delivery request;  Selecting the user it is determined that the same, on the basis of the advertisement viewing log, the second advertisement data associated with the first advertisement data,  Delivering the selected second advertisement data to the user terminal for display in the advertising space in the web page that has accepted the delivery request;  An advertisement delivery method comprising:</t>
  </si>
  <si>
    <t>2020-12-09</t>
  </si>
  <si>
    <t>Metaverse</t>
  </si>
  <si>
    <t>Roboraca Limited</t>
  </si>
  <si>
    <t>GB201906813A</t>
  </si>
  <si>
    <t>D0</t>
  </si>
  <si>
    <t>GB</t>
  </si>
  <si>
    <t>Z00000000000</t>
  </si>
  <si>
    <t>$2529</t>
  </si>
  <si>
    <t>I-000181136658</t>
  </si>
  <si>
    <t>https://patentscout.innography.com/share/KFIgx8B9GiWF81a67pMkOg%3D%3D</t>
  </si>
  <si>
    <t>2020-07-08-CHANGE IN APPLICANT'S NAME OR OWNERSHIP OF THE APPLICATION|2020-12-09-APPLICATIONS TERMINATED BEFORE PUBLICATION UNDER SECTION 16(1)</t>
  </si>
  <si>
    <t>https://patentscout.innography.com/share/KFIgx8B9GiWF81a67pMkOg%3D%3D/download</t>
  </si>
  <si>
    <t>https://v3.espacenet.com/publicationDetails/biblio?CC=GB&amp;NR=201906813D0&amp;KC=D0&amp;FT=D&amp;date=20190626&amp;DB=EPODOC&amp;locale=</t>
  </si>
  <si>
    <t>GB Applications</t>
  </si>
  <si>
    <t>CN102474643 A | US20170085917 A1</t>
  </si>
  <si>
    <t>CN111314715 A</t>
  </si>
  <si>
    <t>2020-02-14</t>
  </si>
  <si>
    <t>2017-07-10</t>
  </si>
  <si>
    <t>2018-07-09</t>
  </si>
  <si>
    <t>2038-07-09</t>
  </si>
  <si>
    <t>2019-01-10</t>
  </si>
  <si>
    <t>The invention provides a method of processing a file comprising video data comprising: processing a file including fisheye video data the file including a syntax structure including a plurality of syntax elements that specify attributes of the fisheye video data wherein the plurality of syntax elements includes one or more bits indicating fisheye video type information; determining the fisheye video type information for the fisheye video data based on the one or more bits of the syntax structure; outputting the fisheye video data for rendering based on the determination.</t>
  </si>
  <si>
    <t>Enhanced high-order signaling for fisheye metaverse video</t>
  </si>
  <si>
    <t>high-order|fisheye|video data|syntax</t>
  </si>
  <si>
    <t>Qualcomm Incorporated</t>
  </si>
  <si>
    <t>Qualcomm, Inc.</t>
  </si>
  <si>
    <t>QUALCOMM, Inc.</t>
  </si>
  <si>
    <t>CN201880043826A</t>
  </si>
  <si>
    <t xml:space="preserve">A method of processing a file containing fisheye video data, the method comprising:processing a file including fisheye video data, the file including a syntax structure including a plurality of syntax elements that specify attributes of the fisheye video data, wherein the plurality of syntax elements includes one or more bits indicating fisheye video type information;determining the fisheye video type information for the fisheye video data based on the one or more bits of the syntax structure; andoutputting the fisheye video data for rendering based on the determination.
</t>
  </si>
  <si>
    <t>1. A method of processing a file containing fisheye video data, the method comprising:processing a file including fisheye video data, the file including a syntax structure including a plurality of syntax elements that specify attributes of the fisheye video data, wherein the plurality of syntax elements includes one or more bits indicating fisheye video type information;determining the fisheye video type information for the fisheye video data based on the one or more bits of the syntax structure; andoutputting the fisheye video data for rendering based on the determination.
2. The method of claim 1, wherein the fisheye video type information includes at least one of an indication of monoscopic fisheye video data or an indication of stereoscopic fisheye video data.
3. The method as claimed in claim 1, wherein the syntax structure is a fisheryeomnidirectionalvideoinfo () syntax structure of omnidirectional media format, andwherein the one or more bits are two bits of the initial 24 reserved bits in the FisheyeOmnidirectional VideoInfo () syntax structure.
4. The method of claim 3, wherein the one or more bits is a view _ dimension _ idc syntax element, wherein a value of 0 for the view _ dimension _ idc syntax element indicates that the fisheye video data is stereoscopic fisheye video data, and wherein a value of 1 for the view _ dimension _ idc syntax element indicates that the fisheye video data is monoscopic fisheye video data.
5. The method of claim 4, wherein a value of 2 for the view _ dimension _ idc syntax element indicates that the fisheye video data is neither monoscopic fisheye video data nor stereoscopic fisheye video data.
6. The method of claim 1, wherein the fisheye video data is stereoscopic fisheye video data, and wherein the syntax structure further includes one or more flags indicating whether an image of the stereoscopic fisheye video data is in a left view or a right view.
7. The method of claim 6, wherein the one or more flags include a left view flag, wherein a value of 1 for the left view flag indicates a particular one of the pictures is in the left view, and wherein a value of 0 for the left view flag indicates a particular one of the pictures is in the right view.
8. The method of claim 6, further comprising:determining whether an image of the stereoscopic fisheye video data is in the left view or the right view based on the one or more flags of the syntax structure; andoutputting the stereoscopic fish-eye video data for rendering based on the determination.
9. An apparatus configured to process a file including video data, the apparatus comprising:a memory configured to store the file; andone or more processors in communication with the memory, the one or more processors configured to:processing the file including fisheye video data, the file including a syntax structure including a plurality of syntax elements that specify attributes of the fisheye video data, wherein the plurality of syntax elements includes one or more bits indicating fisheye video type information;determining the fisheye video type information for the fisheye video data based on the one or more bits of the syntax structure; andoutputting the fisheye video data for rendering based on the determination.
10. The apparatus of claim 9, wherein the fisheye video type information comprises at least one of an indication of monoscopic fisheye video data or an indication of stereoscopic fisheye video data.
11. The apparatus as claimed in claim 9, wherein the syntax structure is a fisheryeomnidirective videoinfo () syntax structure of omnidirectional media format, andwherein the one or more bits are two bits of the initial 24 reserved bits in the FisheyeOmnidirectional VideoInfo () syntax structure.
12. The apparatus of claim 11, wherein the one or more bits are a view _ dimension _ idc syntax element, wherein a value of 0 for the view _ dimension _ idc syntax element indicates that the fisheye video data is stereoscopic fisheye video data, and wherein a value of 1 for the view _ dimension _ idc syntax element indicates that the fisheye video data is monoscopic fisheye video data.
13. The apparatus of claim 12, wherein a value of 2 for the view _ dimension _ idc syntax element indicates that the fisheye video data is neither monoscopic fisheye video data nor stereoscopic fisheye video data.
14. The apparatus of claim 9, wherein the fisheye video data is stereoscopic fisheye video data, and wherein the syntax structure further includes one or more flags indicating whether an image of the stereoscopic fisheye video data is in a left view or a right view.
15. The apparatus of claim 14, wherein the one or more flags comprise a left view flag, wherein a value of 1 for the left view flag indicates a particular one of the pictures is in the left view, and wherein a value of 0 for the left view flag indicates a particular one of the pictures is in the right view.
16. The apparatus of claim 14, wherein the one or more processors are further configured to:determining whether an image of the stereoscopic fisheye video data is in the left view or the right view based on the one or more flags of the syntax structure; andoutputting the stereoscopic fish-eye video data for rendering based on the determination.
17. An apparatus configured to process a file including video data, the apparatus comprising:means for processing a file that includes fisheye video data, the file including a syntax structure that includes a plurality of syntax elements that specify attributes of the fisheye video data, wherein the plurality of syntax elements includes one or more bits that indicate fisheye video type information;means for determining the fisheye video type information for the fisheye video data based on the one or more bits of the syntax structure; andmeans for outputting the fisheye video data for rendering based on the determination.
18. A non-transitory computer-readable storage medium storing instructions that, when executed, cause one or more processors to:processing a file including fisheye video data, the file including a syntax structure including a plurality of syntax elements that specify attributes of the fisheye video data, wherein the plurality of syntax elements includes one or more bits indicating fisheye video type information;determining the fisheye video type information for the fisheye video data based on the one or more bits of the syntax structure; andoutputting the fisheye video data for rendering based on the determination.
19. A method of generating a file containing video data, the method comprising:receiving fisheye video data;generating a file including the fisheye video data, the file including a syntax structure including a plurality of syntax elements that specify attributes of the fisheye video data, wherein the plurality of syntax elements includes one or more bits indicating fisheye video type information; andand outputting the file.
20. The method of claim 19, wherein the fisheye video type information includes at least one of an indication of monoscopic fisheye video data or an indication of stereoscopic fisheye video data.
21. The method as claimed in claim 19, wherein the syntax structure is a fisheryeomnidirectorvideoinfo () syntax structure of an omnidirectional media format, andwherein the one or more bits are two bits of the initial 24 reserved bits in the FisheyeOmnidirectional VideoInfo () syntax structure.
22. The method of claim 21, wherein the one or more bits is a view _ dimension _ idc syntax element, wherein a value of 0 for the view _ dimension _ idc syntax element indicates that the fisheye video data is stereoscopic fisheye video data, and wherein a value of 1 for the view _ dimension _ idc syntax element indicates that the fisheye video data is monoscopic fisheye video data.
23. The method of claim 22, wherein a value of 2 for the view _ dimension _ idc syntax element indicates that the fisheye video data is neither monoscopic fisheye video data nor stereoscopic fisheye video data.
24. The method of claim 19, wherein the fisheye video data is stereoscopic fisheye video data, and wherein the syntax structure further includes one or more flags indicating whether an image of the stereoscopic fisheye video data is in a left view or a right view.
25. The method of claim 24, wherein the one or more flags include a left view flag, wherein a value of 1 for the left view flag indicates a particular one of the pictures is in the left view, and wherein a value of 0 for the left view flag indicates a particular one of the pictures is in the right view.
26. An apparatus configured to generate a file including video data, the apparatus comprising:a memory configured to store the file; andone or more processors in communication with the memory, the one or more processors configured to:receiving fisheye video data;generating the file including the fisheye video data, the file including a syntax structure including a plurality of syntax elements that specify attributes of the fisheye video data, wherein the plurality of syntax elements includes one or more bits indicating fisheye video type information; andand outputting the file.
27. The apparatus of claim 26, wherein the fisheye video type information comprises at least one of an indication of monoscopic fisheye video data or an indication of stereoscopic fisheye video data.
28. The apparatus as claimed in claim 26, wherein the syntax structure is a fisheryeomnidirectionalvideoinfo () syntax structure of omnidirectional media format, andwherein the one or more bits are two bits of the initial 24 reserved bits in the FisheyeOmnidirectional VideoInfo () syntax structure.
29. The apparatus of claim 28, wherein the one or more bits are a view _ dimension _ idc syntax element, wherein a value of 0 for the view _ dimension _ idc syntax element indicates that the fisheye video data is stereoscopic fisheye video data, and wherein a value of 1 for the view _ dimension _ idc syntax element indicates that the fisheye video data is monoscopic fisheye video data.
30. The apparatus of claim 29, wherein a value of 2 for the view _ dimension _ idc syntax element indicates that the fisheye video data is neither monoscopic fisheye video data nor stereoscopic fisheye video data.
31. The apparatus of claim 26, wherein the fisheye video data is stereoscopic fisheye video data, and wherein the syntax structure further includes one or more flags indicating whether an image of the stereoscopic fisheye video data is in a left view or a right view.
32. The apparatus of claim 31, wherein the one or more flags comprise a left view flag, wherein a value of 1 for the left view flag indicates a particular one of the pictures is in the left view, and wherein a value of 0 for the left view flag indicates a particular one of the pictures is in the right view.
33. An apparatus configured to generate a file including video data, the apparatus comprising:means for receiving fisheye video data;means for generating a file that includes the fisheye video data, the file including a syntax structure that includes a plurality of syntax elements that specify attributes of the fisheye video data, wherein the plurality of syntax elements includes one or more bits that indicate fisheye video type information; andmeans for outputting the file.
34. A non-transitory computer-readable storage medium storing instructions that, when executed, cause one or more processors to:receiving fisheye video data;generating a file including the fisheye video data, the file including a syntax structure including a plurality of syntax elements that specify attributes of the fisheye video data, wherein the plurality of syntax elements includes one or more bits indicating fisheye video type information; andand outputting the file.</t>
  </si>
  <si>
    <t>Wang, Yekui</t>
  </si>
  <si>
    <t>H04N0005232380</t>
  </si>
  <si>
    <t>H04N0005232380 | H04N0019700000 | H04N0019460000 | H04N0019597000 | H04N0013161000 | H04N0013194000 | H04N0021816000 | H04N0021854060 | H04N0013178000 | H04N0013243000 | H04N0013167000 | H04N0021440000</t>
  </si>
  <si>
    <t>H04N01970000</t>
  </si>
  <si>
    <t>H04N01970000 | H04N02181000</t>
  </si>
  <si>
    <t>US20190014305A1|WO2019014136A1|TW201909642A|AU2018299902A1|CN110800305A|KR20200024831A|SG11201911331QA|US10659760B2|EP3652945A1|BR112020000107A2|TWI711303B|KR102247404B1|AU2018299902B2</t>
  </si>
  <si>
    <t>US20190014305 A1 | WO2019014136 A1 | TW201909642 A | AU2018299902 A1 | CN110800305 A | KR20200024831 A | SG11201911331 QA | US10659760 B2 | EP3652945 A1 | BR112020000107 A2 | TWI711303 B | KR102247404 B1 | AU2018299902 B2</t>
  </si>
  <si>
    <t>I-000190588259</t>
  </si>
  <si>
    <t>20 years from 2018-07-09 (file date)</t>
  </si>
  <si>
    <t>https://patentscout.innography.com/share/_gGFf2uoPqs1sebdPgXBOg%3D%3D</t>
  </si>
  <si>
    <t>2020-02-14-PUBLICATION|2020-03-10-ENTRY INTO FORCE OF REQUEST FOR SUBSTANTIVE EXAMINATION|2020-09-04-REQUESTS TO DESIGNATE PATENT IN HONG KONG</t>
  </si>
  <si>
    <t>https://patentscout.innography.com/share/_gGFf2uoPqs1sebdPgXBOg%3D%3D/download</t>
  </si>
  <si>
    <t>https://v3.espacenet.com/publicationDetails/biblio?CC=CN&amp;NR=110800305A&amp;KC=A&amp;FT=D&amp;date=20200214&amp;DB=EPODOC&amp;locale=</t>
  </si>
  <si>
    <t>PCT/US2018/041302</t>
  </si>
  <si>
    <t>CN110800305 A</t>
  </si>
  <si>
    <t>US20190014305 A1</t>
  </si>
  <si>
    <t>Lee and Li - Leaven IPR Agency 北京律盟知识产权代理有限责任公司</t>
  </si>
  <si>
    <t>杨林勳 | Yang Linxun</t>
  </si>
  <si>
    <t>1. A method of processing a file containing fisheye video data, the method comprising:processing a file including fisheye video data, the file including a syntax structure including a plurality of syntax elements that specify attributes of the fisheye video data, wherein the plurality of syntax elements includes one or more bits indicating fisheye video type information;determining the fisheye video type information for the fisheye video data based on the one or more bits of the syntax structure; andoutputting the fisheye video data for rendering based on the determination.</t>
  </si>
  <si>
    <t>9. An apparatus configured to process a file including video data, the apparatus comprising:a memory configured to store the file; andone or more processors in communication with the memory, the one or more processors configured to:processing the file including fisheye video data, the file including a syntax structure including a plurality of syntax elements that specify attributes of the fisheye video data, wherein the plurality of syntax elements includes one or more bits indicating fisheye video type information;determining the fisheye video type information for the fisheye video data based on the one or more bits of the syntax structure; andoutputting the fisheye video data for rendering based on the determination.</t>
  </si>
  <si>
    <t>17. An apparatus configured to process a file including video data, the apparatus comprising:means for processing a file that includes fisheye video data, the file including a syntax structure that includes a plurality of syntax elements that specify attributes of the fisheye video data, wherein the plurality of syntax elements includes one or more bits that indicate fisheye video type information;means for determining the fisheye video type information for the fisheye video data based on the one or more bits of the syntax structure; andmeans for outputting the fisheye video data for rendering based on the determination.</t>
  </si>
  <si>
    <t>18. A non-transitory computer-readable storage medium storing instructions that, when executed, cause one or more processors to:processing a file including fisheye video data, the file including a syntax structure including a plurality of syntax elements that specify attributes of the fisheye video data, wherein the plurality of syntax elements includes one or more bits indicating fisheye video type information;determining the fisheye video type information for the fisheye video data based on the one or more bits of the syntax structure; andoutputting the fisheye video data for rendering based on the determination.</t>
  </si>
  <si>
    <t>19. A method of generating a file containing video data, the method comprising:receiving fisheye video data;generating a file including the fisheye video data, the file including a syntax structure including a plurality of syntax elements that specify attributes of the fisheye video data, wherein the plurality of syntax elements includes one or more bits indicating fisheye video type information; andand outputting the file.</t>
  </si>
  <si>
    <t>26. An apparatus configured to generate a file including video data, the apparatus comprising:a memory configured to store the file; andone or more processors in communication with the memory, the one or more processors configured to:receiving fisheye video data;generating the file including the fisheye video data, the file including a syntax structure including a plurality of syntax elements that specify attributes of the fisheye video data, wherein the plurality of syntax elements includes one or more bits indicating fisheye video type information; andand outputting the file.</t>
  </si>
  <si>
    <t>33. An apparatus configured to generate a file including video data, the apparatus comprising:means for receiving fisheye video data;means for generating a file that includes the fisheye video data, the file including a syntax structure that includes a plurality of syntax elements that specify attributes of the fisheye video data, wherein the plurality of syntax elements includes one or more bits that indicate fisheye video type information; andmeans for outputting the file.</t>
  </si>
  <si>
    <t>34. A non-transitory computer-readable storage medium storing instructions that, when executed, cause one or more processors to:receiving fisheye video data;generating a file including the fisheye video data, the file including a syntax structure including a plurality of syntax elements that specify attributes of the fisheye video data, wherein the plurality of syntax elements includes one or more bits indicating fisheye video type information; andand outputting the file.</t>
  </si>
  <si>
    <t>KR20140010878 A | US20150358539 A1 | US20170085917 A1 | WO2014043814 A1 | WO2014171513 A1 | CN108293136 A</t>
  </si>
  <si>
    <t>2020-10-23</t>
  </si>
  <si>
    <t>The invention provides a method which performs the following operations: processing a manifest file that includes in an adaptation set level syntax structure one or more syntax elements that specify attributes of one or more representations of a corresponding adaptation set the one or more representations including fisheye video data; determining the attributes of the one or more representations including the fisheye video data based on the one or more syntax elements; and retrieving at least a portion of a segment including one of the representations of the fisheye video data based on the determination the segment comprising an independently retrievable media file.</t>
  </si>
  <si>
    <t>Enhanced high-order signaling for fisheye metaverse video in dash</t>
  </si>
  <si>
    <t>high-order|fisheye|dash|video data|syntax</t>
  </si>
  <si>
    <t>CN201880044854A</t>
  </si>
  <si>
    <t xml:space="preserve">A method of processing a file containing video data, the method comprising:processing a manifest file that includes, at an adaptation set level syntax structure, one or more syntax elements that specify attributes of one or more representations of a corresponding adaptation set, the one or more representations including fisheye video data;determining the attributes of the one or more representations including the fisheye video data based on the one or more syntax elements; andretrieving at least a portion of a segment including one of the representations of the fisheye video data based on the determination, the segment comprising an independently retrievable media file.
</t>
  </si>
  <si>
    <t>1. A method of processing a file containing video data, the method comprising:processing a manifest file that includes, at an adaptation set level syntax structure, one or more syntax elements that specify attributes of one or more representations of a corresponding adaptation set, the one or more representations including fisheye video data;determining the attributes of the one or more representations including the fisheye video data based on the one or more syntax elements; andretrieving at least a portion of a segment including one of the representations of the fisheye video data based on the determination, the segment comprising an independently retrievable media file.
2. The method of claim 1, wherein the attributes including the one or more representations of the fisheye video data include at least one of an indication of monoscopic fisheye video data or an indication of stereoscopic fisheye video data.
3. The method of claim 1, wherein the one or more syntax elements include a Fisheye Video Information (FVI) descriptor.
4. The method of claim 3, wherein the FVI descriptor includes a view _ dimension _ idc syntax element, wherein a value of 0 of the view _ dimension _ idc syntax element indicates that the fisheye video data is stereoscopic fisheye video data, and wherein a value of 1 of the view _ dimension _ idc syntax element indicates that the fisheye video data is monoscopic fisheye video data.
5. The method of claim 4, wherein a value of 2 for the view _ dimension _ idc syntax element indicates that the fisheye video data is neither monoscopic fisheye video data nor stereoscopic fisheye video data.
6. The method of claim 3, wherein the one or more representations including the fisheye video data include stereoscopic fisheye video data, and wherein the FVI descriptor further includes one or more flags indicating whether an image of the stereoscopic fisheye video data is in a left view or a right view.
7. The method of claim 6, wherein the one or more flags comprise a left view idc flag, wherein a value of 1 for the left view idc flag indicates that a particular one of the images is in the left view, and wherein a value of 0 for the left view idc flag indicates that a particular one of the images is in the right view.
8. The method of claim 6, further comprising:determining whether an image of the stereoscopic fisheye video data is in the left view or the right view based on the one or more flags of the syntax structure; andoutputting the stereoscopic fish-eye video data for rendering based on the determination.
9. An apparatus configured to process a file including video data, the apparatus comprising:a memory configured to store a manifest file; andone or more processors in communication with the memory, the one or more processors configured to:processing the manifest file that includes, in an adaptation set level syntax structure, one or more syntax elements that specify attributes of one or more representations of a corresponding adaptation set, the one or more representations including fisheye video data,determining the attributes of the one or more representations including the fisheye video data based on the one or more syntax elements, anRetrieving at least a portion of a segment including one of the representations of the fisheye video data based on the determination, the segment comprising an independently retrievable media file.
10. The apparatus of claim 9, wherein the attributes including the one or more representations of the fisheye video data include at least one of an indication of monoscopic fisheye video data or an indication of stereoscopic fisheye video data.
11. The apparatus of claim 9, wherein the one or more syntax elements include a Fisheye Video Information (FVI) descriptor.
12. The apparatus of claim 11, wherein the FVI descriptor includes a view _ dimension _ idc syntax element, wherein a value of 0 of the view _ dimension _ idc syntax element indicates that the fisheye video data is stereoscopic fisheye video data, and wherein a value of 1 of the view _ dimension _ idc syntax element indicates that the fisheye video data is monoscopic fisheye video data.
13. The apparatus of claim 12, wherein a value of 2 for the view _ dimension _ idc syntax element indicates that the fisheye video data is neither monoscopic fisheye video data nor stereoscopic fisheye video data.
14. The apparatus of claim 11, wherein the one or more representations including the fisheye video data include stereoscopic fisheye video data, and wherein the FVI descriptor further includes one or more flags indicating whether an image of the stereoscopic fisheye video data is in a left view or a right view.
15. The apparatus of claim 14, wherein the one or more flags comprise a left view idc flag, wherein a value of 1 for the left view idc flag indicates a particular one of the images is in the left view, and wherein a value of 0 for the left view idc flag indicates a particular one of the images is in the right view.
16. The apparatus of claim 14, wherein the one or more processors are further configured to:determining whether an image of the stereoscopic fisheye video data is in the left view or the right view based on the one or more flags of the syntax structure; andoutputting the stereoscopic fish-eye video data for rendering based on the determination.
17. An apparatus configured to process a file including video data, the apparatus comprising:means for processing a manifest file that includes, in an adaptation set level syntax structure, one or more syntax elements that specify attributes of one or more representations of a corresponding adaptation set, the one or more representations including fisheye video data;means for determining the attributes of the one or more representations including the fisheye video data based on the one or more syntax elements; andmeans for retrieving at least a portion of a segment including one of the representations of the fisheye video data based on the determination, the segment comprising an independently retrievable media file.
18. A non-transitory computer-readable storage medium storing instructions that, when executed, cause one or more processors to:processing a manifest file that includes, in an adaptation set level syntax structure, one or more syntax elements that specify attributes of one or more representations of a corresponding adaptation set, the one or more representations including fisheye video data;determining the attributes of the one or more representations including the fisheye video data based on the one or more syntax elements; andretrieving at least a portion of a segment including one of the representations of the fisheye video data based on the determination, the segment comprising an independently retrievable media file.
19. A method of generating a file containing video data, the method comprising:receiving fisheye video data;generating a manifest file that includes one or more syntax elements in an adaptation set level syntax structure that specify attributes that include one or more representations of the fisheye video data; andand outputting the manifest file.
20. The method of claim 19, wherein the attributes including the one or more representations of the fisheye video data include at least one of an indication of monoscopic fisheye video data or an indication of stereoscopic fisheye video data.
21. The method of claim 19, wherein the one or more syntax elements include a Fisheye Video Information (FVI) descriptor.
22. The method of claim 21, wherein the FVI descriptor includes a view _ dimension _ idc syntax element, wherein a value of 0 of the view _ dimension _ idc syntax element indicates that the fisheye video data is stereoscopic fisheye video data, and wherein a value of 1 of the view _ dimension _ idc syntax element indicates that the fisheye video data is monoscopic fisheye video data.
23. The method of claim 22, wherein a value of 2 for the view _ dimension _ idc syntax element indicates that the fisheye video data is neither monoscopic fisheye video data nor stereoscopic fisheye video data.
24. The method of claim 21, wherein the one or more representations including the fisheye video data include stereoscopic fisheye video data, and wherein the FVI descriptor further includes one or more flags indicating whether an image of the stereoscopic fisheye video data is in a left view or a right view.
25. The method of claim 24, wherein the one or more flags comprise a left view idc flag, wherein a value of 1 for the left view idc flag indicates that a particular one of the images is in the left view, and wherein a value of 0 for the left view idc flag indicates that a particular one of the images is in the right view.
26. An apparatus configured to generate a file including video data, the apparatus comprising:a memory configured to store a manifest file; andone or more processors in communication with the memory, the one or more processors configured to:receiving fisheye video data;generating the manifest file that includes one or more syntax elements in an adaptation set level syntax structure that specify attributes that include one or more representations of the fisheye video data; andand outputting the manifest file.
27. The apparatus of claim 26, wherein the attributes that include the one or more representations of the fisheye video data include at least one of an indication of monoscopic fisheye video data or an indication of stereoscopic fisheye video data.
28. The apparatus of claim 26, wherein the one or more syntax elements include a Fisheye Video Information (FVI) descriptor.
29. The apparatus of claim 28, wherein the FVI descriptor includes a view _ dimension _ idc syntax element, wherein a value of 0 of the view _ dimension _ idc syntax element indicates that the fisheye video data is stereoscopic fisheye video data, and wherein a value of 1 of the view _ dimension _ idc syntax element indicates that the fisheye video data is monoscopic fisheye video data.
30. The apparatus of claim 29, wherein a value of 2 for the view _ dimension _ idc syntax element indicates that the fisheye video data is neither monoscopic fisheye video data nor stereoscopic fisheye video data.
31. The apparatus of claim 28, wherein the one or more representations including the fisheye video data include stereoscopic fisheye video data, and wherein the FVI descriptor further includes one or more flags indicating whether an image of the stereoscopic fisheye video data is in a left view or a right view.
32. The apparatus of claim 31, wherein the one or more flags comprise a left view idc flag, wherein a value of 1 for the left view idc flag indicates a particular one of the images is in the left view, and wherein a value of 0 for the left view idc flag indicates a particular one of the images is in the right view.
33. An apparatus configured to generate a file including video data, the apparatus comprising:means for receiving fisheye video data;means for generating a manifest file that includes, in an adaptation set level syntax structure, one or more syntax elements that specify attributes that include one or more representations of the fisheye video data; andmeans for outputting the manifest file.
34. A non-transitory computer-readable storage medium storing instructions that, when executed, cause one or more processors to:receiving fisheye video data;generating a manifest file that includes one or more syntax elements in an adaptation set level syntax structure that specify attributes that include one or more representations of the fisheye video data; andand outputting the manifest file.</t>
  </si>
  <si>
    <t>CN110832877 B</t>
  </si>
  <si>
    <t>H04N0005232380 | H04N0013161000 | H04N0021234390 | H04N0021633600 | H04N0021816000 | H04N0021840000 | H04N0021845600 | H04N0021854060 | H04N0019597000 | H04N0013122000 | H04N0013293000 | H04N0019700000 | H04N2213007000</t>
  </si>
  <si>
    <t>H04N02163360</t>
  </si>
  <si>
    <t>H04N02163360 | H04N02181000 | H04N02184000</t>
  </si>
  <si>
    <t>US20190014350A1|WO2019014133A1|TW201909625A|AU2018299899A1|US10575018B2|CN110832877A|KR20200024829A|SG11201911333SA|EP3652956A1|BR112020000110A2|CN110832877B|TWI703854B|KR102190718B1|AU2018299899B2</t>
  </si>
  <si>
    <t>US20190014350 A1 | WO2019014133 A1 | TW201909625 A | AU2018299899 A1 | US10575018 B2 | CN110832877 A | KR20200024829 A | SG11201911333 SA | EP3652956 A1 | BR112020000110 A2 | CN110832877 B | TWI703854 B | KR102190718 B1 | AU2018299899 B2</t>
  </si>
  <si>
    <t>I-000190831862</t>
  </si>
  <si>
    <t>Application expired due to grant (CN110832877 B)</t>
  </si>
  <si>
    <t>https://patentscout.innography.com/share/syADXQnytVto99pD1IXpvg%3D%3D</t>
  </si>
  <si>
    <t>2020-02-21-PUBLICATION|2020-03-17-ENTRY INTO FORCE OF REQUEST FOR SUBSTANTIVE EXAMINATION|2020-09-25-REQUESTS TO DESIGNATE PATENT IN HONG KONG|2020-10-23-PATENT GRANT</t>
  </si>
  <si>
    <t>https://patentscout.innography.com/share/syADXQnytVto99pD1IXpvg%3D%3D/download</t>
  </si>
  <si>
    <t>https://v3.espacenet.com/publicationDetails/biblio?CC=CN&amp;NR=110832877A&amp;KC=A&amp;FT=D&amp;date=20200221&amp;DB=EPODOC&amp;locale=</t>
  </si>
  <si>
    <t>PCT/US2018/041298</t>
  </si>
  <si>
    <t>CN110832877 A</t>
  </si>
  <si>
    <t>US20190014350 A1</t>
  </si>
  <si>
    <t>Yang Linxun | 杨林勳</t>
  </si>
  <si>
    <t>1. A method of processing a file containing video data, the method comprising:processing a manifest file that includes, at an adaptation set level syntax structure, one or more syntax elements that specify attributes of one or more representations of a corresponding adaptation set, the one or more representations including fisheye video data;determining the attributes of the one or more representations including the fisheye video data based on the one or more syntax elements; andretrieving at least a portion of a segment including one of the representations of the fisheye video data based on the determination, the segment comprising an independently retrievable media file.</t>
  </si>
  <si>
    <t>9. An apparatus configured to process a file including video data, the apparatus comprising:a memory configured to store a manifest file; andone or more processors in communication with the memory, the one or more processors configured to:processing the manifest file that includes, in an adaptation set level syntax structure, one or more syntax elements that specify attributes of one or more representations of a corresponding adaptation set, the one or more representations including fisheye video data,determining the attributes of the one or more representations including the fisheye video data based on the one or more syntax elements, anRetrieving at least a portion of a segment including one of the representations of the fisheye video data based on the determination, the segment comprising an independently retrievable media file.</t>
  </si>
  <si>
    <t>17. An apparatus configured to process a file including video data, the apparatus comprising:means for processing a manifest file that includes, in an adaptation set level syntax structure, one or more syntax elements that specify attributes of one or more representations of a corresponding adaptation set, the one or more representations including fisheye video data;means for determining the attributes of the one or more representations including the fisheye video data based on the one or more syntax elements; andmeans for retrieving at least a portion of a segment including one of the representations of the fisheye video data based on the determination, the segment comprising an independently retrievable media file.</t>
  </si>
  <si>
    <t>18. A non-transitory computer-readable storage medium storing instructions that, when executed, cause one or more processors to:processing a manifest file that includes, in an adaptation set level syntax structure, one or more syntax elements that specify attributes of one or more representations of a corresponding adaptation set, the one or more representations including fisheye video data;determining the attributes of the one or more representations including the fisheye video data based on the one or more syntax elements; andretrieving at least a portion of a segment including one of the representations of the fisheye video data based on the determination, the segment comprising an independently retrievable media file.</t>
  </si>
  <si>
    <t>19. A method of generating a file containing video data, the method comprising:receiving fisheye video data;generating a manifest file that includes one or more syntax elements in an adaptation set level syntax structure that specify attributes that include one or more representations of the fisheye video data; andand outputting the manifest file.</t>
  </si>
  <si>
    <t>26. An apparatus configured to generate a file including video data, the apparatus comprising:a memory configured to store a manifest file; andone or more processors in communication with the memory, the one or more processors configured to:receiving fisheye video data;generating the manifest file that includes one or more syntax elements in an adaptation set level syntax structure that specify attributes that include one or more representations of the fisheye video data; andand outputting the manifest file.</t>
  </si>
  <si>
    <t>33. An apparatus configured to generate a file including video data, the apparatus comprising:means for receiving fisheye video data;means for generating a manifest file that includes, in an adaptation set level syntax structure, one or more syntax elements that specify attributes that include one or more representations of the fisheye video data; andmeans for outputting the manifest file.</t>
  </si>
  <si>
    <t>34. A non-transitory computer-readable storage medium storing instructions that, when executed, cause one or more processors to:receiving fisheye video data;generating a manifest file that includes one or more syntax elements in an adaptation set level syntax structure that specify attributes that include one or more representations of the fisheye video data; andand outputting the manifest file.</t>
  </si>
  <si>
    <t>2038-07-08</t>
  </si>
  <si>
    <t xml:space="preserve">A method of processing a file containing video data, the method comprising:processing a manifest file that includes, at an adaptation set level syntax structure, one or more syntax elements that specify attributes of one or more representations of a corresponding adaptation set, the one or more representations including fisheye video data;determining the attribute of the one or more representations including the fisheye video data based on the one or more syntax elements, wherein the attribute of the one or more representations including the fisheye video data includes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a center of the particular circular image of the fisheye video data; andretrieving at least a portion of a segment including one of the representations of the fisheye video data based on the determination, the segment comprising an independently retrievable media file.
</t>
  </si>
  <si>
    <t>1. A method of processing a file containing video data, the method comprising:processing a manifest file that includes, at an adaptation set level syntax structure, one or more syntax elements that specify attributes of one or more representations of a corresponding adaptation set, the one or more representations including fisheye video data;determining the attribute of the one or more representations including the fisheye video data based on the one or more syntax elements, wherein the attribute of the one or more representations including the fisheye video data includes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a center of the particular circular image of the fisheye video data; andretrieving at least a portion of a segment including one of the representations of the fisheye video data based on the determination, the segment comprising an independently retrievable media file.
2. The method of claim 1, wherein the one or more syntax elements include a Fisheye Video Information (FVI) descriptor.
3. The method of claim 2, wherein the FVI descriptor includes a view _ dimension _ idc syntax element, wherein a value of 0 of the view _ dimension _ idc syntax element indicates that the fisheye video data is stereoscopic fisheye video data, and wherein a value of 1 of the view _ dimension _ idc syntax element indicates that the fisheye video data is monoscopic fisheye video data.
4. The method of claim 3, wherein a value of 2 for the view _ dimension _ idc syntax element indicates that the fisheye video data is neither monoscopic fisheye video data nor stereoscopic fisheye video data.
5. The method of claim 2, wherein the one or more representations including the fisheye video data include stereoscopic fisheye video data, and wherein the FVI descriptor further includes one or more flags indicating whether an image of the stereoscopic fisheye video data is in a left view or a right view.
6. The method of claim 5, wherein the one or more flags include a left view idc flag, wherein a value of 1 for the left view idc flag indicates that a particular one of the images of the stereoscopic fisheye video data is in the left view, and wherein a value of 0 for the left view idc flag indicates that a particular one of the images of the stereoscopic fisheye video data is in the right view.
7. The method of claim 5, further comprising:determining whether an image of the stereoscopic fisheye video data is in the left view or the right view based on the one or more flags of the syntax structure; andoutputting the stereoscopic fish-eye video data for rendering based on the determination.
8. An apparatus configured to process a file including video data, the apparatus comprising:a memory configured to store a manifest file; andone or more processors in communication with the memory, the one or more processors configured to:processing the manifest file that includes, in an adaptation set level syntax structure, one or more syntax elements that specify attributes of one or more representations of a corresponding adaptation set, the one or more representations including fisheye video data,determining the attributes of the one or more representations including the fisheye video data based on the one or more syntax elements, wherein the attributes of the one or more representations including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a center of the particular circular image of the fisheye video data, andretrieving at least a portion of a segment including one of the representations of the fisheye video data based on the determination, the segment comprising an independently retrievable media file.
9. The apparatus of claim 8, wherein the one or more syntax elements include a Fisheye Video Information (FVI) descriptor.
10. The apparatus of claim 9, wherein the FVI descriptor includes a view _ dimension _ idc syntax element, wherein a value of 0 of the view _ dimension _ idc syntax element indicates that the fisheye video data is stereoscopic fisheye video data, and wherein a value of 1 of the view _ dimension _ idc syntax element indicates that the fisheye video data is monoscopic fisheye video data.
11. The apparatus of claim 10, wherein a value of 2 for the view _ dimension _ idc syntax element indicates that the fisheye video data is neither monoscopic fisheye video data nor stereoscopic fisheye video data.
12. The apparatus of claim 9, wherein the one or more representations including the fisheye video data include stereoscopic fisheye video data, and wherein the FVI descriptor further includes one or more flags indicating whether an image of the stereoscopic fisheye video data is in a left view or a right view.
13. The apparatus of claim 12, wherein the one or more flags comprise a left view idc flag, wherein a value of 1 for the left view idc flag indicates that a particular one of the images of the stereoscopic fisheye video data is in the left view, and wherein a value of 0 for the left view idc flag indicates that a particular one of the images of the stereoscopic fisheye video data is in the right view.
14. The apparatus of claim 12, wherein the one or more processors are further configured to:determining whether an image of the stereoscopic fisheye video data is in the left view or the right view based on the one or more flags of the syntax structure; andoutputting the stereoscopic fish-eye video data for rendering based on the determination.
15. An apparatus configured to process a file including video data, the apparatus comprising:means for processing a manifest file that includes, in an adaptation set level syntax structure, one or more syntax elements that specify attributes of one or more representations of a corresponding adaptation set, the one or more representations including fisheye video data;means for determining the attributes of the one or more representations including the fisheye video data based on the one or more syntax elements, wherein the attributes of the one or more representations including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a center of the particular circular image of the fisheye video data; andmeans for retrieving at least a portion of a segment including one of the representations of the fisheye video data based on the determination, the segment comprising an independently retrievable media file.
16. A non-transitory computer-readable storage medium storing instructions that, when executed, cause one or more processors to:processing a manifest file that includes, in an adaptation set level syntax structure, one or more syntax elements that specify attributes of one or more representations of a corresponding adaptation set, the one or more representations including fisheye video data;determining the attribute of the one or more representations including the fisheye video data based on the one or more syntax elements, wherein the attribute of the one or more representations including the fisheye video data includes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a center of the particular circular image of the fisheye video data; andretrieving at least a portion of a segment including one of the representations of the fisheye video data based on the determination, the segment comprising an independently retrievable media file.
17. A method of generating a file containing video data, the method comprising:receiving fisheye video data;generating a manifest file including, in an adaptation set level syntax structure, one or more syntax elements that specify attributes including one or more representations of the fisheye video data, wherein the attributes including the one or more representations of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data,and an indication of a vertical coordinate of a center of the particular circular image of the fisheye video data; andand outputting the manifest file.
18. The method of claim 17, wherein the one or more syntax elements include a Fisheye Video Information (FVI) descriptor.
19. The method of claim 18, wherein the FVI descriptor includes a view _ dimension _ idc syntax element, wherein a value of 0 of the view _ dimension _ idc syntax element indicates that the fisheye video data is stereoscopic fisheye video data, and wherein a value of 1 of the view _ dimension _ idc syntax element indicates that the fisheye video data is monoscopic fisheye video data.
20. The method of claim 19, wherein a value of 2 for the view _ dimension _ idc syntax element indicates that the fisheye video data is neither monoscopic fisheye video data nor stereoscopic fisheye video data.
21. The method of claim 18, wherein the one or more representations including the fisheye video data include stereoscopic fisheye video data, and wherein the FVI descriptor further includes one or more flags indicating whether an image of the stereoscopic fisheye video data is in a left view or a right view.
22. The method of claim 21, wherein the one or more flags comprise a left view idc flag, wherein a value of 1 for the left view idc flag indicates that a particular one of the images of the stereoscopic fisheye video data is in the left view, and wherein a value of 0 for the left view idc flag indicates that a particular one of the images of the stereoscopic fisheye video data is in the right view.
23. An apparatus configured to generate a file including video data, the apparatus comprising:a memory configured to store a manifest file; andone or more processors in communication with the memory, the one or more processors configured to:receiving fisheye video data;generating the manifest file that includes, in an adaptation set level syntax structure, one or more syntax elements that specify attributes that include one or more representations of the fisheye video data, wherein the attributes that include the one or more representations of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the center of the particular circular image of the fisheye video data; andand outputting the manifest file.
24. The apparatus of claim 23, wherein the one or more syntax elements include a Fisheye Video Information (FVI) descriptor.
25. The apparatus of claim 24, wherein the FVI descriptor includes a view _ dimension _ idc syntax element, wherein a value of 0 of the view _ dimension _ idc syntax element indicates that the fisheye video data is stereoscopic fisheye video data, and wherein a value of 1 of the view _ dimension _ idc syntax element indicates that the fisheye video data is monoscopic fisheye video data.
26. The apparatus of claim 25, wherein a value of 2 for the view _ dimension _ idc syntax element indicates that the fisheye video data is neither monoscopic fisheye video data nor stereoscopic fisheye video data.
27. The apparatus of claim 24, wherein the one or more representations including the fisheye video data include stereoscopic fisheye video data, and wherein the FVI descriptor further includes one or more flags indicating whether an image of the stereoscopic fisheye video data is in a left view or a right view.
28. The apparatus of claim 27, wherein the one or more flags comprise a left view idc flag, wherein a value of 1 for the left view idc flag indicates that a particular one of the images of the stereoscopic fisheye video data is in the left view, and wherein a value of 0 for the left view idc flag indicates that a particular one of the images of the stereoscopic fisheye video data is in the right view.
29. An apparatus configured to generate a file including video data, the apparatus comprising:means for receiving fisheye video data;means for generating a manifest file that includes, in an adaptation set level syntax structure, one or more syntax elements that specify attributes that include one or more representations of the fisheye video data, wherein the attributes that include the one or more representations of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a center of the particular circular image of the fisheye video data; andmeans for outputting the manifest file.
30. A non-transitory computer-readable storage medium storing instructions that, when executed, cause one or more processors to:receiving fisheye video data;generating a manifest file including, in an adaptation set level syntax structure, one or more syntax elements that specify attributes including one or more representations of the fisheye video data, wherein the attributes including the one or more representations of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data,and an indication of a vertical coordinate of a center of the particular circular image of the fisheye video data; andand outputting the manifest file.</t>
  </si>
  <si>
    <t>B</t>
  </si>
  <si>
    <t>$19842</t>
  </si>
  <si>
    <t>20 years from 2018-07-08 (the day prior to the file date)</t>
  </si>
  <si>
    <t>https://patentscout.innography.com/share/OJ3sy4nWERQ1-fZm4nX7Kg%3D%3D</t>
  </si>
  <si>
    <t>https://patentscout.innography.com/share/OJ3sy4nWERQ1-fZm4nX7Kg%3D%3D/download</t>
  </si>
  <si>
    <t>https://v3.espacenet.com/publicationDetails/biblio?CC=CN&amp;NR=110832877B&amp;KC=B&amp;FT=D&amp;date=20201023&amp;DB=EPODOC&amp;locale=</t>
  </si>
  <si>
    <t>CN Grants</t>
  </si>
  <si>
    <t>1. A method of processing a file containing video data, the method comprising:processing a manifest file that includes, at an adaptation set level syntax structure, one or more syntax elements that specify attributes of one or more representations of a corresponding adaptation set, the one or more representations including fisheye video data;determining the attribute of the one or more representations including the fisheye video data based on the one or more syntax elements, wherein the attribute of the one or more representations including the fisheye video data includes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a center of the particular circular image of the fisheye video data; andretrieving at least a portion of a segment including one of the representations of the fisheye video data based on the determination, the segment comprising an independently retrievable media file.</t>
  </si>
  <si>
    <t>8. An apparatus configured to process a file including video data, the apparatus comprising:a memory configured to store a manifest file; andone or more processors in communication with the memory, the one or more processors configured to:processing the manifest file that includes, in an adaptation set level syntax structure, one or more syntax elements that specify attributes of one or more representations of a corresponding adaptation set, the one or more representations including fisheye video data,determining the attributes of the one or more representations including the fisheye video data based on the one or more syntax elements, wherein the attributes of the one or more representations including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a center of the particular circular image of the fisheye video data, andretrieving at least a portion of a segment including one of the representations of the fisheye video data based on the determination, the segment comprising an independently retrievable media file.</t>
  </si>
  <si>
    <t>15. An apparatus configured to process a file including video data, the apparatus comprising:means for processing a manifest file that includes, in an adaptation set level syntax structure, one or more syntax elements that specify attributes of one or more representations of a corresponding adaptation set, the one or more representations including fisheye video data;means for determining the attributes of the one or more representations including the fisheye video data based on the one or more syntax elements, wherein the attributes of the one or more representations including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a center of the particular circular image of the fisheye video data; andmeans for retrieving at least a portion of a segment including one of the representations of the fisheye video data based on the determination, the segment comprising an independently retrievable media file.</t>
  </si>
  <si>
    <t>16. A non-transitory computer-readable storage medium storing instructions that, when executed, cause one or more processors to:processing a manifest file that includes, in an adaptation set level syntax structure, one or more syntax elements that specify attributes of one or more representations of a corresponding adaptation set, the one or more representations including fisheye video data;determining the attribute of the one or more representations including the fisheye video data based on the one or more syntax elements, wherein the attribute of the one or more representations including the fisheye video data includes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a center of the particular circular image of the fisheye video data; andretrieving at least a portion of a segment including one of the representations of the fisheye video data based on the determination, the segment comprising an independently retrievable media file.</t>
  </si>
  <si>
    <t>17. A method of generating a file containing video data, the method comprising:receiving fisheye video data;generating a manifest file including, in an adaptation set level syntax structure, one or more syntax elements that specify attributes including one or more representations of the fisheye video data, wherein the attributes including the one or more representations of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data,and an indication of a vertical coordinate of a center of the particular circular image of the fisheye video data; andand outputting the manifest file.</t>
  </si>
  <si>
    <t>23. An apparatus configured to generate a file including video data, the apparatus comprising:a memory configured to store a manifest file; andone or more processors in communication with the memory, the one or more processors configured to:receiving fisheye video data;generating the manifest file that includes, in an adaptation set level syntax structure, one or more syntax elements that specify attributes that include one or more representations of the fisheye video data, wherein the attributes that include the one or more representations of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the center of the particular circular image of the fisheye video data; andand outputting the manifest file.</t>
  </si>
  <si>
    <t>29. An apparatus configured to generate a file including video data, the apparatus comprising:means for receiving fisheye video data;means for generating a manifest file that includes, in an adaptation set level syntax structure, one or more syntax elements that specify attributes that include one or more representations of the fisheye video data, wherein the attributes that include the one or more representations of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 and an indication of a vertical coordinate of a center of the particular circular image of the fisheye video data; andmeans for outputting the manifest file.</t>
  </si>
  <si>
    <t>30. A non-transitory computer-readable storage medium storing instructions that, when executed, cause one or more processors to:receiving fisheye video data;generating a manifest file including, in an adaptation set level syntax structure, one or more syntax elements that specify attributes including one or more representations of the fisheye video data, wherein the attributes including the one or more representations of the fisheye video data include an indication of monoscopic fisheye video data or an indication of stereoscopic fisheye video data, an indication of whether an image of the stereoscopic fisheye video data is in a left view or a right view, an indication of a number of circular images of the fisheye video data, an indication of a horizontal coordinate of a center of a particular circular image of the fisheye video data,and an indication of a vertical coordinate of a center of the particular circular image of the fisheye video data; andand outputting the manifest file.</t>
  </si>
  <si>
    <t>2020-12-30</t>
  </si>
  <si>
    <t>2020-11-18</t>
  </si>
  <si>
    <t>2022-06-15</t>
  </si>
  <si>
    <t>Metaverse self-play</t>
  </si>
  <si>
    <t>GB202018138A</t>
  </si>
  <si>
    <t>G06N0003080000</t>
  </si>
  <si>
    <t>G06N0003080000 | G06N0003006000 | G06N0003008000 | B60W0060001000</t>
  </si>
  <si>
    <t>GB202018138D0|WO2022106829A1</t>
  </si>
  <si>
    <t>GB202018138 D | WO2022106829 A1</t>
  </si>
  <si>
    <t>I-000205671265</t>
  </si>
  <si>
    <t>https://patentscout.innography.com/share/lixwIEj5eO1kt5pYvtHj6A%3D%3D</t>
  </si>
  <si>
    <t>2022-06-15-APPLICATIONS TERMINATED BEFORE PUBLICATION UNDER SECTION 16(1)</t>
  </si>
  <si>
    <t>https://patentscout.innography.com/share/lixwIEj5eO1kt5pYvtHj6A%3D%3D/download</t>
  </si>
  <si>
    <t>https://v3.espacenet.com/publicationDetails/biblio?CC=GB&amp;NR=202018138D0&amp;KC=D0&amp;FT=D&amp;date=20201230&amp;DB=EPODOC&amp;locale=</t>
  </si>
  <si>
    <t>GB202018138 D0</t>
  </si>
  <si>
    <t>2021-12-15</t>
  </si>
  <si>
    <t>2021-10-31</t>
  </si>
  <si>
    <t>2041-10-31</t>
  </si>
  <si>
    <t>Method for providing metaverse space in passenger cars capable of enabling content access &amp; interaction between users</t>
  </si>
  <si>
    <t>Paleti Marcus Panikumar</t>
  </si>
  <si>
    <t>GB202115630A</t>
  </si>
  <si>
    <t>GB202115630D0</t>
  </si>
  <si>
    <t>GB202115630 D</t>
  </si>
  <si>
    <t>I-000218919727</t>
  </si>
  <si>
    <t>20 years from 2021-10-31 (file date)</t>
  </si>
  <si>
    <t>https://patentscout.innography.com/share/Sg2YxAcUh2qAvczJ78pCvw%3D%3D</t>
  </si>
  <si>
    <t>https://patentscout.innography.com/share/Sg2YxAcUh2qAvczJ78pCvw%3D%3D/download</t>
  </si>
  <si>
    <t>https://v3.espacenet.com/publicationDetails/biblio?CC=GB&amp;NR=202115630D0&amp;KC=D0&amp;FT=D&amp;date=20211215&amp;DB=EPODOC&amp;locale=</t>
  </si>
  <si>
    <t>GB202115630 D0</t>
  </si>
  <si>
    <t>CN114465828 A | CN114842985 A | CN114613522 A</t>
  </si>
  <si>
    <t>2022-01-07</t>
  </si>
  <si>
    <t>The invention claims an AR element universe decentralization medical community diagnosis system comprising a block chain network the block chain network is provided with a patient terminal and a doctor terminal as node and distributed application program the block chain network is further provided with a virtual hospital node; the patient terminal writes the medical record information into the block chain maintained by each node of the block chain network; the virtual hospital node writes the hospital model into block chain maintained by each node of block chain network; the hospital model is used for observing the set in the hospital model under the first view or other view after the patient terminal is accessed and navigation by AR AR chat interaction action executing registration the doctor and patient matching process; the doctor terminal obtains the medical record information provided by the patient terminal according to the patient matching process after obtaining the diagnosis information writing the diagnosis information into the block chain maintained by each node of the block chain network for the patient terminal to obtain; The patient terminal and the doctor terminal both have the function of generating contact between the virtual and reality.</t>
  </si>
  <si>
    <t>Ar metaverse decentralization medical community diagnosis system</t>
  </si>
  <si>
    <t>Ding Yu</t>
  </si>
  <si>
    <t>CN202111400782A</t>
  </si>
  <si>
    <t>1. A medical community diagnosis system for AR element universe decentralization, wherein the system comprises a block chain network, the block chain network is provided with a node and a distributed application program (DAPP) of the patient terminal and a doctor terminal, the block chain network is further provided with a virtual hospital node; writing the medical record information in the block chain maintained by each node of the block chain network by the patient terminal; the virtual hospital node writes the hospital model into the block chain maintained by each node of the block chain network, the hospital model is used for observing the set in the hospital model at the first visual angle or other visual angle after the patient terminal is accessed, and navigation by AR, AR chat, interactive action, executing registration, the doctor-patient matching process; the doctor terminal obtains the medical record information provided by the patient terminal according to the patient matching process, after obtaining the diagnosis information, writing the diagnosis information into the block chain maintained by each node of the block chain network for obtaining the patient terminal; The patient terminal and the doctor terminal each have a function of generating contact between virtual and reality.</t>
  </si>
  <si>
    <t>1. A medical community diagnosis system for AR element universe decentralization, wherein the system comprises a block chain network, the block chain network is provided with a node and a distributed application program (DAPP) of the patient terminal and a doctor terminal, the block chain network is further provided with a virtual hospital node; writing the medical record information in the block chain maintained by each node of the block chain network by the patient terminal; the virtual hospital node writes the hospital model into the block chain maintained by each node of the block chain network, the hospital model is used for observing the set in the hospital model at the first visual angle or other visual angle after the patient terminal is accessed, and navigation by AR, AR chat, interactive action, executing registration, the doctor-patient matching process; the doctor terminal obtains the medical record information provided by the patient terminal according to the patient matching process, after obtaining the diagnosis information, writing the diagnosis information into the block chain maintained by each node of the block chain network for obtaining the patient terminal; The patient terminal and the doctor terminal each have a function of generating contact between virtual and reality.2. The medical community diagnosis system for AR element universe decentralization according to claim 1, wherein it further comprises at least one or more of the following configurations: the patient terminal building the virtual character and accessing the virtual hospital node; the doctor terminal building its own virtual character and accessing the virtual hospital node; the image of the role in the modelling of the hospital also can be the real image; after the patient terminal is accessed to the virtual hospital node, it also can execute the process of payment, translation and so on; the doctor terminal further sends the diagnosis information to the virtual hospital for public indication, generating account book, distributed to all nodes, further transmitted to the shop DAPP for payment purchase and so on; the patient terminal and the doctor terminal are provided with purse function; by means of optical projection to display comprises a virtual hospital node of the hospital modelling, virtual character and any one of the system related to the image, so that the patient can use the device, the diagnosis related image is projected to the three-dimensional space, and by three-dimensional space of the projection to realize diagnosis.3. The AR element universe decentralized medical community diagnosis system according to claim 1, wherein the doctor terminal further writes the prescription information into the block chain maintained by each node of the block chain network, so that the prescription information is obtained after obtaining the medicine for the patient, and/or the doctor terminal further writes the detected document information into the block chain maintained by each node of the block chain network, so that the patient can perform device inspection online, and using the virtual name in the virtual hospital for public diagnosis and treatment information distribution to all the nodes so that the user doctor cannot be modified.4. The AR element universe decentralization medical community diagnosis system according to claim 3, wherein the block chain network further comprises an electric business platform node capable of providing medicine, the prescription information is sent to the electric business platform node; the block chain network is further deployed with the intelligent contract of the patient terminal according to the prescription information provided by the doctor terminal to purchase the medicine from the business platform node, so that the patient can obtain the medicine from the electric business platform.5. The AR element universe decentralized medical community diagnosis system according to claim 1, wherein the hospital modelling is further used for performing AR navigation queuing at the first visual angle or other visual angle, chat, voice language translation, case translation, currency and token payment, interactive action, executing registration, a matching flow of doctor and patient; further comprising currency or token money conversion and official account book (anonymous publishing prescription to all nodes make prescription cannot be modified and so on).6. The AR element universe decentralization medical community diagnosis system according to claim 1, wherein the hospital modelling is further provided with an AR navigation module for guiding the patient registration and docking to the needed diagnosis room and/or doctor.7. The medical community diagnosis system for AR element universe decentralization according to claim 1, wherein the modelling of the hospital is further provided with a chat module for communication among roles.8. The medical community diagnosis system for AR element universe decentralization according to claim 1, wherein the block chain network is further provided with an intelligent contract for paying diagnosis and treatment fee and/or medicine fee, and the payment currency comprises currency and/or virtual token money.9. The AR element universe decentralization medical community diagnosis system according to claim 8, wherein the intelligent contract is further deployed with the following program module and configuration: money or token converter module, used for exchanging between different currency; translation module, used for the diagnosis process related information (including the language of the doctor and patient communication) for translation, comprising a voice translation and case translation and so on; account book public module, for making the virtual hospital have common account book for public patient using virtual name for medical prescription after diagnosis, and distributing to all nodes of block chain network, all nodes can be publicly inquired and cannot be modified; a wallet module for adding wallet function to the doctor and the user node for payment and collection; also can be credit card or purchase virtual token mode; the virtual hospital provides open source code to the AR doctor terminal (node); the doctor end (home and abroad) uses medical non-national ecological node; AR diagnosis augmented reality enhancing treatment module, for the doctor end connected with the patient end and using AR augmented reality enhancing experience face-to-face diagnosis and treatment, enhancing the sensory experience of the user; the user uses the virtual name for medical way, but the case according to the real name of the user is stored in the corresponding case library; In addition, the system further comprises: AR intelligent device, connecting different intelligent device through the interface, so that the patient in the AR face to face diagnosis and treatment process, the doctor can refer to different intelligent device sensing data obtained by sensing, and enter into the block chain corresponding to the electronic case library by block mode; block chain browser, for inquiring all information of block chain comprising account book.10. The medical community diagnosis system for AR meta-universe decentralization according to claim 1, wherein the function of generating contact between the virtual reality and reality comprises virtual reality, augmented reality enhancing, mixing reality, extending at least one or more of the combination of reality; correspondingly, accessing the role of the hospital modeling can adopt virtual reality, augmented reality enhancing, mixing reality, at least one kind of or combination of several kinds of expansion reality to interact.</t>
  </si>
  <si>
    <t>Ding, Yu</t>
  </si>
  <si>
    <t>G16H0080000000</t>
  </si>
  <si>
    <t>G16H0080000000 | G06F0003011000 | G06F0009454000 | G06F0021640000 | G06F0040580000 | G06T0019006000 | G07C0011000000 | G07C2011040000 | G16H0010600000 | G16H0020100000 | G16H0040200000</t>
  </si>
  <si>
    <t>G16H08000000</t>
  </si>
  <si>
    <t>G16H08000000 | G06F00301000 | G06F00945100 | G06F02164000 | G06F04058000 | G06T01900000 | G07C01100000 | G16H01060000 | G16H02010000 | G16H04020000</t>
  </si>
  <si>
    <t>CN113903480A</t>
  </si>
  <si>
    <t>CN113903480 A</t>
  </si>
  <si>
    <t>I-000220324530</t>
  </si>
  <si>
    <t>https://patentscout.innography.com/share/OstZgk6an9srKg0N_oZ3xw%3D%3D</t>
  </si>
  <si>
    <t>2022-01-07-PUBLICATION|2022-01-25-ENTRY INTO FORCE OF REQUEST FOR SUBSTANTIVE EXAMINATION</t>
  </si>
  <si>
    <t>https://patentscout.innography.com/share/OstZgk6an9srKg0N_oZ3xw%3D%3D/download</t>
  </si>
  <si>
    <t>https://v3.espacenet.com/publicationDetails/biblio?CC=CN&amp;NR=113903480A&amp;KC=A&amp;FT=D&amp;date=20220107&amp;DB=EPODOC&amp;locale=</t>
  </si>
  <si>
    <t>1.  1.  A medical community diagnosis system for AR element universe decentralization, wherein the system comprises a block chain network, the block chain network is provided with a node and a distributed application program (DAPP) of the patient terminal and a doctor terminal, the block chain network is further provided with a virtual hospital node; writing the medical record information in the block chain maintained by each node of the block chain network by the patient terminal; the virtual hospital node writes the hospital model into the block chain maintained by each node of the block chain network, the hospital model is used for observing the set in the hospital model at the first visual angle or other visual angle after the patient terminal is accessed, and navigation by AR, AR chat, interactive action, executing registration, the doctor-patient matching process; the doctor terminal obtains the medical record information provided by the patient terminal according to the patient matching process, after obtaining the diagnosis information, writing the diagnosis information into the block chain maintained by each node of the block chain network for obtaining the patient terminal; The patient terminal and the doctor terminal each have a function of generating contact between virtual and reality.</t>
  </si>
  <si>
    <t>2022-03-17</t>
  </si>
  <si>
    <t>2020-09-17</t>
  </si>
  <si>
    <t>2021-09-16</t>
  </si>
  <si>
    <t>2041-09-16</t>
  </si>
  <si>
    <t>2021-12-07</t>
  </si>
  <si>
    <t>Provided is a temperature reproducing apparatus including a content playback unit configured to play back content a temperature measurement unit configured to measure an ambient temperature using at least one temperature sensor. The ambient temperature may include a body temperature of a user a processor configured to determine a temperature to be reproduced to the user based on at least one of the content the ambient temperature and a temperature set by the user. The temperature reproducing apparatus may include a temperature reproduction unit configured to reproduce the temperature determined by the processor using at least one temperature reproduction approaches.</t>
  </si>
  <si>
    <t>Apparatus for reproducing temperature for metaverse</t>
  </si>
  <si>
    <t>unit configured|ambient temperature|temperature setting|reproducing apparatus|temperature map</t>
  </si>
  <si>
    <t>Whoborn Inc.</t>
  </si>
  <si>
    <t>WHOBORN INC.</t>
  </si>
  <si>
    <t>US17/477295</t>
  </si>
  <si>
    <t>PETER J IANNUZZI</t>
  </si>
  <si>
    <t>3715: Amusement and Education Devices</t>
  </si>
  <si>
    <t xml:space="preserve">A temperature reproducing apparatus comprising:
a content playback unit configured to play back content;
a temperature measurement unit configured to measure an ambient temperature using at least one temperature sensor, wherein the ambient temperature includes a body temperature of a user;
a processor configured to determine a temperature to be reproduced to the user based on at least one of the content, the ambient temperature, and a temperature set by the user; and
a temperature reproduction unit configured to reproduce the temperature determined by the processor using at least one temperature reproduction means.
</t>
  </si>
  <si>
    <t>1. A temperature reproducing apparatus comprising:
a content playback unit configured to play back content;
a temperature measurement unit configured to measure an ambient temperature using at least one temperature sensor, wherein the ambient temperature includes a body temperature of a user;
a processor configured to determine a temperature to be reproduced to the user based on at least one of the content, the ambient temperature, and a temperature set by the user; and
a temperature reproduction unit configured to reproduce the temperature determined by the processor using at least one temperature reproduction means.
2. The temperature reproducing apparatus of claim 1, wherein the processor determines a first temperature to be reproduced to the user based on the content, and
determines a second temperature to be reproduced to the user by correcting the first temperature to be reproduced to the user based on the ambient temperature.
3. The temperature reproducing apparatus of claim 2, wherein the processor generates a first temperature map representing the first temperature,
generates a second temperature map indicating a first ambient temperature measured by the temperature measurement unit and a second ambient temperature estimated based on the first ambient temperature,
generates a third temperature map representing a correction value of the first temperature based on the first ambient temperature and the second ambient temperature, and
generates a fourth temperature map representing the second temperature based on the first temperature map and the third temperature map.
4. The temperature reproducing apparatus of claim 1, wherein the temperature measurement unit measures the ambient temperature in a three-dimensional form.
5. The temperature reproducing apparatus of claim 1, wherein the temperature sensor is a non-contact type temperature sensor that measures the ambient temperature in a state that does not come into contact with the user.
6. The temperature reproducing apparatus of claim 1, wherein the temperature reproduction means comprises a first temperature reproduction means for heating the user by an exothermic reaction and a second temperature reproduction means for cooling the user by an endothermic reaction.
7. The temperature reproducing apparatus of claim 1, wherein the at least one temperature sensor and the at least one temperature reproduction means are distributed by a predetermined distance from each other and arranged in a grid pattern.
8. The temperature reproducing apparatus of claim 7, wherein the at least one temperature sensor and the at least one temperature reproduction means are arranged to constitute a plurality of layers and are arranged in different layers.
9. The temperature reproducing apparatus of claim 1, wherein when the content is audio, the processor determines the temperature to be reproduced to the user based on at least one of a frequency, a pattern, a tempo, and a beat of the audio.
10. The temperature reproducing apparatus of claim 1, wherein when the content is a virtual reality (VR) simulation, the processor determines the temperature to be reproduced to the user based on a relative position of an object included in the VR simulation and the user within the VR simulation.</t>
  </si>
  <si>
    <t>Bae, Young Sik</t>
  </si>
  <si>
    <t>G06T0019006000 | A63F0013250000 | G01K0013000000 | G01K0013200000 | G05D0023193200 | G05D0023200000 | G06T0017050000 | A63F2300808200 | G05D0023191700 | G01K0001026000 | G01K0001028000 | A63F0013217000 | A63F0013280000 | A63F0013650000</t>
  </si>
  <si>
    <t>A63F01325000</t>
  </si>
  <si>
    <t>A63F01325000 | A63F01321700 | G01K01320000 | G05D02319000</t>
  </si>
  <si>
    <t>US20220080302A1|CN114202635A</t>
  </si>
  <si>
    <t>US20210385298 A1 | CN113760089 A | KR20210151710 A | US20220080302 A1 | CN114202635 A | KR20220037351 A</t>
  </si>
  <si>
    <t>I-000222701705</t>
  </si>
  <si>
    <t>20 years from 2021-09-16 (file date)</t>
  </si>
  <si>
    <t>https://patentscout.innography.com/share/NBz40QlP4LWmfPJ1Uk6mmA%3D%3D</t>
  </si>
  <si>
    <t>2021-10-25-INFORMATION ON STATUS: PATENT APPLICATION AND GRANTING PROCEDURE IN GENERAL</t>
  </si>
  <si>
    <t>https://patentscout.innography.com/share/NBz40QlP4LWmfPJ1Uk6mmA%3D%3D/download</t>
  </si>
  <si>
    <t>https://ppubs.uspto.gov/pubwebapp/external.html?q=20220080302.pn.</t>
  </si>
  <si>
    <t>US20220080302 A1</t>
  </si>
  <si>
    <t>US20210385298 A1</t>
  </si>
  <si>
    <t>1. A temperature reproducing apparatus comprising:
a content playback unit configured to play back content;
a temperature measurement unit configured to measure an ambient temperature using at least one temperature sensor, wherein the ambient temperature includes a body temperature of a user;
a processor configured to determine a temperature to be reproduced to the user based on at least one of the content, the ambient temperature, and a temperature set by the user; and
a temperature reproduction unit configured to reproduce the temperature determined by the processor using at least one temperature reproduction means.</t>
  </si>
  <si>
    <t>US20180095534 A1</t>
  </si>
  <si>
    <t>2022-03-24</t>
  </si>
  <si>
    <t>2021-09-06</t>
  </si>
  <si>
    <t>2041-09-06</t>
  </si>
  <si>
    <t>A content playback unit that reproduces content a temperature measurement unit that measures ambient temperature using at least one temperature sensor and reproduces to the user based on at least one of the content the ambient temperature and the temperature set by the user A temperature reproducing apparatus is provided comprising: a processor for determining a temperature to be performed; and a temperature reproducing unit for reproducing the temperature determined by the processor using at least one temperature reproducing means.</t>
  </si>
  <si>
    <t>Temperature reproducing apparatus for metaverse</t>
  </si>
  <si>
    <t>KR20210118463A</t>
  </si>
  <si>
    <t>a content playback unit for playing content;a temperature measuring unit measuring an ambient temperature using at least one temperature sensor, wherein the ambient temperature includes a user's body temperature;a processor configured to determine a temperature to be reproduced to the user based on at least one of the content, the ambient temperature, and a temperature set by the user; and a temperature reproduction unit that reproduces the temperature determined by the processor using at least one temperature reproduction means.Including, temperature reproduction device.</t>
  </si>
  <si>
    <t>a content playback unit for playing content;a temperature measuring unit measuring an ambient temperature using at least one temperature sensor, wherein the ambient temperature includes a user's body temperature;a processor configured to determine a temperature to be reproduced to the user based on at least one of the content, the ambient temperature, and a temperature set by the user; and a temperature reproduction unit that reproduces the temperature determined by the processor using at least one temperature reproduction means.Including, temperature reproduction device.
The method of claim 1 , wherein the processor determines a first temperature to be reproduced to the user based on the content, and corrects the first temperature to be reproduced to the user based on the ambient temperature. 2 A temperature reproducing device that determines the temperature.
The method of claim 2, wherein the processor generates a first temperature map indicating the first temperature, and represents the first ambient temperature measured by the temperature measuring unit and a second ambient temperature estimated based on the first ambient temperature. a second temperature map is generated, and a third temperature map indicating a correction value of the first temperature based on the first ambient temperature and the second ambient temperature is generated, and in the first temperature map and the third temperature map and generating a fourth temperature map indicating the second temperature based on the temperature reproducing apparatus.
According to claim 1, The temperature measuring unit, the temperature reproduction device for measuring the ambient temperature in a three-dimensional form.
The temperature reproduction apparatus of claim 1 , wherein the temperature sensor is a non-contact type temperature sensor that measures the ambient temperature in a state in which the user is not in contact.
The method according to claim 1, wherein the temperature reproducing means comprises a first temperature reproducing means for heating the user by an exothermic reaction and a second temperature reproducing means for cooling the user by an endothermic reaction, temperature reproduction device.
The temperature reproduction apparatus according to claim 1, wherein the at least one temperature sensor and the at least one temperature reproduction means are distributed by a predetermined distance from each other and arranged in a grid pattern.
The temperature reproduction apparatus according to claim 7, wherein the at least one temperature sensor and the at least one temperature reproduction means are arranged to constitute a plurality of layers and are arranged in different layers.
The temperature to be reproduced to the user according to claim 1, wherein if the content is audio, the processor is configured to reproduce the temperature to the user based on at least one of a frequency, a pattern, a tempo and a beat of the audio. To determine the temperature reproduction device.
The method of claim 1 , wherein when the content is a virtual reality (VR) simulation, the processor determines a temperature to be reproduced to the user based on a relative position of the user and an object included in the VR simulation within the VR simulation. , temperature reproduction device.</t>
  </si>
  <si>
    <t>G06F0003016000</t>
  </si>
  <si>
    <t>G06F0003016000 | G06F0001163000 | H05B0003000000</t>
  </si>
  <si>
    <t>G06F00301000 | G06F00116000 | H05B00300000</t>
  </si>
  <si>
    <t>KR20220037351A</t>
  </si>
  <si>
    <t>I-000223768317</t>
  </si>
  <si>
    <t>20 years from 2021-09-06 (file date)</t>
  </si>
  <si>
    <t>https://patentscout.innography.com/share/4cwD9BtTeZCY4TPBzJhBSw%3D%3D</t>
  </si>
  <si>
    <t>https://patentscout.innography.com/share/4cwD9BtTeZCY4TPBzJhBSw%3D%3D/download</t>
  </si>
  <si>
    <t>https://v3.espacenet.com/publicationDetails/biblio?CC=KR&amp;NR=20220037351A&amp;KC=A&amp;FT=D&amp;date=20220324&amp;DB=EPODOC&amp;locale=</t>
  </si>
  <si>
    <t>KR20220037351 A</t>
  </si>
  <si>
    <t>1.  a content playback unit for playing content;a temperature measuring unit measuring an ambient temperature using at least one temperature sensor, wherein the ambient temperature includes a user's body temperature;a processor configured to determine a temperature to be reproduced to the user based on at least one of the content, the ambient temperature, and a temperature set by the user; and a temperature reproduction unit that reproduces the temperature determined by the processor using at least one temperature reproduction means.Including, temperature reproduction device.</t>
  </si>
  <si>
    <t>2022-07-07</t>
  </si>
  <si>
    <t>2021-01-05</t>
  </si>
  <si>
    <t>2022-01-05</t>
  </si>
  <si>
    <t>2042-01-05</t>
  </si>
  <si>
    <t>An article of footwear customization kit system and method include an outsole platform configured to overlap at least in part an outsole of the article of footwear. A lighting unit is configured to be attached to the article of footwear and to be operatively coupled to the outsole platform the lighting unit comprising a light emitting device configured to be visible exterior to the article of footwear. An adjustable heel unit is configured to be operatively coupled to the outsole platform and the lighting unit the adjustable heel unit configured to be attached adjacent a heel portion of the article of footwear. The adjustable heel unit comprises a power source configured to provide power to the light emitting device when the adjustable heel unit is operatively coupled to the lighting unit. The adjustable heel unit is configured to be movable relative to the article of footwear.</t>
  </si>
  <si>
    <t>Systems and methods for customizing articles of footwear and providing digital or metaverse capabilities</t>
  </si>
  <si>
    <t>customized article|customized|heel unit|adjustable heel|outsole</t>
  </si>
  <si>
    <t>Nike, Inc.</t>
  </si>
  <si>
    <t>NIKE, Inc.</t>
  </si>
  <si>
    <t>US17/569444</t>
  </si>
  <si>
    <t xml:space="preserve">An article of footwear customization kit, comprising:
an outsole platform, configured to overlap, at least in part, an outsole of the article of footwear, and configured to be adjustable to a size of the article of footwear;
a lighting unit, configured to be attached to the article of footwear and to be operatively coupled to the outsole platform, the lighting unit comprising a light emitting device configured to be visible exterior to the article of footwear; and
an adjustable heel unit, configured to be operatively coupled to the outsole platform and the lighting unit, the adjustable heel unit configured to be attached adjacent a heel portion of the article of footwear;
wherein the adjustable heel unit comprises a power source configured to provide power to the light emitting device when the adjustable heel unit is operatively coupled to the lighting unit; and
wherein the adjustable heel unit is configured to be movable relative to the article of footwear.
</t>
  </si>
  <si>
    <t>1. An article of footwear customization kit, comprising:
an outsole platform, configured to overlap, at least in part, an outsole of the article of footwear, and configured to be adjustable to a size of the article of footwear;
a lighting unit, configured to be attached to the article of footwear and to be operatively coupled to the outsole platform, the lighting unit comprising a light emitting device configured to be visible exterior to the article of footwear; and
an adjustable heel unit, configured to be operatively coupled to the outsole platform and the lighting unit, the adjustable heel unit configured to be attached adjacent a heel portion of the article of footwear;
wherein the adjustable heel unit comprises a power source configured to provide power to the light emitting device when the adjustable heel unit is operatively coupled to the lighting unit; and
wherein the adjustable heel unit is configured to be movable relative to the article of footwear.
2. The article of footwear customization kit of claim 1, wherein the adjustable heel unit further comprises a motor, operatively coupled to the battery, configured to move the adjustable heel unit.
3. The article of footwear customization kit of claim 2, wherein the motor is configured to cause the adjustable heel unit to extend and retract relative to the article of footwear.
4. The article of footwear customization kit of claim 2, wherein the motor is configured to cause the adjustable heel unit to rotate relative to the article of footwear.
5. The article of footwear customization kit of claim 2, wherein the motor is configured to physically adjust the adjustable heel unit to secure, at least in part, the adjustable heel unit to the article of footwear, or detach the adjustable heel unit, at least in part, from the article of footwear.
6. The article of footwear customization kit of claim 2, wherein the motor is configured to physically adjust the adjustable heel unit to prevent interference with a body part of a wearer of the article of footwear.
7. The article of footwear customization kit of claim 1, wherein at least some of the outsole platform, the lighting unit, and the adjustable heel unit are configured to be physically attached to one another other with an attachment device.
8. The article of footwear customization kit of claim 7, wherein the attachment device is configured to provide power among the outsole platform, the lighting unit, and the adjustable heel unit.
9. The article of footwear customization kit of claim 1, wherein the outsole platform further comprises a battery configured to provide power to the lighting unit.
10. The article of footwear customization kit of claim 1, wherein the light emitting device is configurable to provide customized lighting by a user of the article of footwear customization kit.
11. A method of making an article of footwear customization kit, comprising:
obtaining an outsole platform, configured to overlap, at least in part, an outsole of the article of footwear, and configured to be adjustable to a size of the article of footwear;
obtaining a lighting unit, configured to be attached to the article of footwear and to be operatively coupled to the outsole platform, the lighting unit comprising a light emitting device configured to be visible exterior to the article of footwear; and
obtaining an adjustable heel unit, configured to be operatively coupled to the outsole platform and the lighting unit, the adjustable heel unit configured to be attached adjacent a heel portion of the article of footwear;
wherein the adjustable heel unit comprises a power source configured to provide power to the light emitting device when the adjustable heel unit is operatively coupled to the lighting unit; and
wherein the adjustable heel unit is configured to be movable relative to the article of footwear.
12. The method of claim 11, wherein obtaining the adjustable heel unit further comprises obtaining the adjustable heel unit with a motor, operatively coupled to the battery, configured to move the adjustable heel unit.
13. The method of claim 12, wherein the motor is configured to cause the adjustable heel unit to extend and retract relative to the article of footwear.
14. The method of claim 12, wherein the motor is configured to cause the adjustable heel unit to rotate relative to the article of footwear.
15. The method of claim 12, wherein the motor is configured to physically adjust the adjustable heel unit to secure, at least in part, the adjustable heel unit to the article of footwear, or detach the adjustable heel unit, at least in part, from the article of footwear.
16. The method of claim 12, wherein the motor is configured to physically adjust the adjustable heel unit to prevent interference with a body part of a wearer of the article of footwear.
17. The method of claim 11, wherein at least some of the outsole platform, the lighting unit, and the adjustable heel unit are configured to be physically attached to one another other with an attachment device.
18. The method of claim 17, wherein the attachment device is configured to provide power among the outsole platform, the lighting unit, and the adjustable heel unit.
19. The method of claim 11, wherein the outsole platform further comprises a battery configured to provide power to the lighting unit.
20. The method of claim 11, wherein the light emitting device is configurable to provide customized lighting by a user of the article of footwear customization kit.</t>
  </si>
  <si>
    <t>Vasilev, Steve|Pagotto, Benoit|Howard, Chris Le</t>
  </si>
  <si>
    <t>A43B0003360000</t>
  </si>
  <si>
    <t>A43B0003360000 | A43B0003400000 | A43B0021360000 | A43B0003480000 | A43B0011000000 | A43B0023240000</t>
  </si>
  <si>
    <t>A43B00336000</t>
  </si>
  <si>
    <t>A43B00336000 | A43B00340000 | A43B02136000</t>
  </si>
  <si>
    <t>012000000</t>
  </si>
  <si>
    <t>01214200G</t>
  </si>
  <si>
    <t>US20220211140A1</t>
  </si>
  <si>
    <t>US20220211140 A1</t>
  </si>
  <si>
    <t>I-000226896028</t>
  </si>
  <si>
    <t>20 years from 2022-01-05 (file date)</t>
  </si>
  <si>
    <t>https://patentscout.innography.com/share/WMYQ_RyhDrMjlV4ECELwcg%3D%3D</t>
  </si>
  <si>
    <t>2022-02-15-INFORMATION ON STATUS: PATENT APPLICATION AND GRANTING PROCEDURE IN GENERAL|2022-08-11-ASSIGNMENT (NIKE, INC.)</t>
  </si>
  <si>
    <t>https://patentscout.innography.com/share/WMYQ_RyhDrMjlV4ECELwcg%3D%3D/download</t>
  </si>
  <si>
    <t>https://ppubs.uspto.gov/pubwebapp/external.html?q=20220211140.pn.</t>
  </si>
  <si>
    <t>1. An article of footwear customization kit, comprising:
an outsole platform, configured to overlap, at least in part, an outsole of the article of footwear, and configured to be adjustable to a size of the article of footwear;
a lighting unit, configured to be attached to the article of footwear and to be operatively coupled to the outsole platform, the lighting unit comprising a light emitting device configured to be visible exterior to the article of footwear; and
an adjustable heel unit, configured to be operatively coupled to the outsole platform and the lighting unit, the adjustable heel unit configured to be attached adjacent a heel portion of the article of footwear;
wherein the adjustable heel unit comprises a power source configured to provide power to the light emitting device when the adjustable heel unit is operatively coupled to the lighting unit; and
wherein the adjustable heel unit is configured to be movable relative to the article of footwear.</t>
  </si>
  <si>
    <t>11. A method of making an article of footwear customization kit, comprising:
obtaining an outsole platform, configured to overlap, at least in part, an outsole of the article of footwear, and configured to be adjustable to a size of the article of footwear;
obtaining a lighting unit, configured to be attached to the article of footwear and to be operatively coupled to the outsole platform, the lighting unit comprising a light emitting device configured to be visible exterior to the article of footwear; and
obtaining an adjustable heel unit, configured to be operatively coupled to the outsole platform and the lighting unit, the adjustable heel unit configured to be attached adjacent a heel portion of the article of footwear;
wherein the adjustable heel unit comprises a power source configured to provide power to the light emitting device when the adjustable heel unit is operatively coupled to the lighting unit; and
wherein the adjustable heel unit is configured to be movable relative to the article of footwear.</t>
  </si>
  <si>
    <t>2022-07-19</t>
  </si>
  <si>
    <t>2020-10-27</t>
  </si>
  <si>
    <t>2040-10-27</t>
  </si>
  <si>
    <t>An apparatus according to an embodiment of the present invention includes: a camera module for capturing a building to which a sign is to be attached; a display in which the building is captured and displayed in real time according to a change in the lens incident angle of the camera module; and a signboard image display control module for controlling to display in real time a signboard image prepared in advance in a predetermined area of the building captured in real time on the display.</t>
  </si>
  <si>
    <t>Apparatus and method for displaying signage image using metaverse</t>
  </si>
  <si>
    <t>Vision Place Inc.</t>
  </si>
  <si>
    <t>Vision Place</t>
  </si>
  <si>
    <t>KR20200139797A</t>
  </si>
  <si>
    <t>A camera module for capturing the building to which the signage will be attached;a display in which the building is captured and displayed in real time according to a change in the lens incident angle of the camera module; and a signboard image display control module that controls to display in real time a signboard image prepared in advance in a predetermined area of a building captured in real time on the display, wherein the signboard image is a sample image before the time of production of the signboard or the signboard image and a signboard display area generating module that is a sign image after production and generates a display area of the signboard image displayed in real time by touch input, wherein the signboard display area generating module is configured to generate each of the display areas by the touch input A still cut image generating module configured to generate a vertex, and generating a still cut image of a building captured in real time on the display and a signboard image displayed in real time according to the movement of the camera module; AR signage image display device, characterized in that.</t>
  </si>
  <si>
    <t>A camera module for capturing the building to which the signage will be attached;a display in which the building is captured and displayed in real time according to a change in the lens incident angle of the camera module; and a signboard image display control module that controls to display in real time a signboard image prepared in advance in a predetermined area of a building captured in real time on the display, wherein the signboard image is a sample image before the time of production of the signboard or the signboard image and a signboard display area generating module that is a sign image after production and generates a display area of the signboard image displayed in real time by touch input, wherein the signboard display area generating module is configured to generate each of the display areas by the touch input A still cut image generating module configured to generate a vertex, and generating a still cut image of a building captured in real time on the display and a signboard image displayed in real time according to the movement of the camera module; AR signage image display device, characterized in that.
delete
delete
delete
delete
According to claim 1, wherein each size of the building captured in real time on the display and the signboard image displayed on the display in real time is corrected while moving by a touch input, or environmental factors including day and night, time zone, weather, sunlight, and shadow AR signage image display device, characterized in that it further comprises a real-time captured image correction module that performs screen correction while moving by touch input to reflect the.
The method of claim 6, wherein in the still-cut image generated by the still-cut image generating module, the size of the corresponding building and signboard image is corrected while moving by a touch input, or environmental elements including day and night, time zone, weather, sunlight, and shadow are selected. AR signage image display device, characterized in that it is configured to further include a still-cut image correction module that performs screen correction while moving by touch input by reflecting.
The signboard according to claim 7, wherein the still-cut image correction module is configured to have a perspective according to the camera module's view of the building and the signboard image on the still-cut image generated by the still-cut image generating module. AR signage image display device, characterized in that configured to correct the image and the shape of the building to the front shape.
generating, in the signboard image display control module, a predetermined area of the building captured in real time on the display;
and displaying a signboard image prepared in advance in the generated predetermined area in real time, wherein the signboard image is a sample image before the production time of the corresponding signboard or a signboard image after the production of the corresponding signboard, and is displayed in the generated predetermined area in advance. The process of displaying the prepared signboard image in real time further includes, in the signboard display area generating module, generating a display area of the signboard image displayed in real time by a touch input, and changing the display area of the signboard image by a touch input. The generating process includes generating each vertex of the display area by the touch input, and the process of displaying a pre-prepared signboard image in the generated predetermined area in real time includes: in the still-cut image generating module, the camera module AR signboard image display method, characterized in that it further comprises the step of generating a still cut image of a building captured in real time on the display and a signboard image displayed in real time according to the movement of the display.
delete
delete
delete
delete
10. The method of claim 9, wherein the process of displaying the signboard image prepared in advance in the generated predetermined area in real time, in the real-time captured image correction module, each of the building captured on the display in real time and the signboard image displayed on the display in real time AR signage image display, characterized in that it further includes the process of correcting the size while moving it by touch input, or performing screen correction while moving by touch input by reflecting environmental factors including day and night, time zone, weather, sunlight, and shadow Way.
15. The method of claim 14, wherein the process of displaying the signboard image prepared in advance in the generated predetermined area in real time, in the still-cut image correction module, while moving the size of the corresponding building and signboard image in the generated still-cut image by touch input AR signage image display method, characterized in that it further comprises the process of correcting or performing screen correction while moving by touch input by reflecting environmental factors including day and night, time zone, weather, sunlight, and shadow.
The method according to claim 15, wherein the correction in the still-cut image correction module comprises: on the still-cut image generated by the still-cut image generating module, so that the shape of the building and the sign image has a perspective according to the perspective of the camera module. If configured, AR signage image display method, characterized in that it further comprises the step of correcting the shape of the signboard image and the building to the front shape.</t>
  </si>
  <si>
    <t>Jung, Hyun Soo|Park, Jeongkil|Kim, Jung Gon</t>
  </si>
  <si>
    <t>KR20220055564 A</t>
  </si>
  <si>
    <t>G06T0019006000 | G06F0003041600 | G06T0011600000 | G06T0015500000 | G06T0019200000 | G06T2219200400 | G06T2219202100</t>
  </si>
  <si>
    <t>G06T01900000 | G06F00304100 | G06T01160000 | G06T01550000 | G06T01920000</t>
  </si>
  <si>
    <t>KR20220055564A|KR102409826B1</t>
  </si>
  <si>
    <t>KR20220055564 A | KR102409826 B1</t>
  </si>
  <si>
    <t>I-000225379381</t>
  </si>
  <si>
    <t>20 years from 2020-10-27 (file date)</t>
  </si>
  <si>
    <t>https://patentscout.innography.com/share/onlyuVDuO3C8ff_Vgfs31g%3D%3D</t>
  </si>
  <si>
    <t>2022-03-14-DECISION TO GRANT OR REGISTRATION OF PATENT RIGHT</t>
  </si>
  <si>
    <t>https://patentscout.innography.com/share/onlyuVDuO3C8ff_Vgfs31g%3D%3D/download</t>
  </si>
  <si>
    <t>https://v3.espacenet.com/publicationDetails/biblio?CC=KR&amp;NR=102409826B1&amp;KC=B1&amp;FT=D&amp;date=20220719&amp;DB=EPODOC&amp;locale=</t>
  </si>
  <si>
    <t>1.  A camera module for capturing the building to which the signage will be attached;a display in which the building is captured and displayed in real time according to a change in the lens incident angle of the camera module; and a signboard image display control module that controls to display in real time a signboard image prepared in advance in a predetermined area of a building captured in real time on the display, wherein the signboard image is a sample image before the time of production of the signboard or the signboard image and a signboard display area generating module that is a sign image after production and generates a display area of the signboard image displayed in real time by touch input, wherein the signboard display area generating module is configured to generate each of the display areas by the touch input A still cut image generating module configured to generate a vertex, and generating a still cut image of a building captured in real time on the display and a signboard image displayed in real time according to the movement of the camera module; AR signage image display device, characterized in that.</t>
  </si>
  <si>
    <t>9.  generating, in the signboard image display control module, a predetermined area of the building captured in real time on the display;
and displaying a signboard image prepared in advance in the generated predetermined area in real time, wherein the signboard image is a sample image before the production time of the corresponding signboard or a signboard image after the production of the corresponding signboard, and is displayed in the generated predetermined area in advance. The process of displaying the prepared signboard image in real time further includes, in the signboard display area generating module, generating a display area of the signboard image displayed in real time by a touch input, and changing the display area of the signboard image by a touch input. The generating process includes generating each vertex of the display area by the touch input, and the process of displaying a pre-prepared signboard image in the generated predetermined area in real time includes: in the still-cut image generating module, the camera module AR signboard image display method, characterized in that it further comprises the step of generating a still cut image of a building captured in real time on the display and a signboard image displayed in real time according to the movement of the display.</t>
  </si>
  <si>
    <t>KR20120073890 A | KR20120117403 A | KR20160021462 A | KR20170082396 A</t>
  </si>
  <si>
    <t>2022-07-20</t>
  </si>
  <si>
    <t>The present invention provides a service providing server equipped with a shopping mall to provide an opening tool for opening a product sales site to a plurality of producers; A first step of opening a product sales site; and a second step of opening a sales 1_1 menu through which the sales terminal 1_1 which is a first primary seller can access the sales site at a predetermined location of a specific site; and a third step in which the sales terminal 2_1 which is the first secondary seller opens a sales 2_1 menu at a predetermined location of a specific site to access the sales site; It relates to a marketing sales construction method for increasing the exposure frequency of the menu and increasing the exposure frequency of the sales menu so that a plurality of purchaser terminals can access the sales site.</t>
  </si>
  <si>
    <t>How to build marketing sales that increase the frequency of exposure to sales menus on metaverse</t>
  </si>
  <si>
    <t>Lee, Sang Yup</t>
  </si>
  <si>
    <t>KR20210113457A</t>
  </si>
  <si>
    <t>A service providing server equipped with a shopping mall to provide an opening tool for opening a product sales site to a plurality of producers; a first step of accessing the server providing server to sell the product and opening a first sales site of a first product using the opening tool provided by the service providing server;The service providing server provides the address of the first sales site to the sales terminal 1_1 of the seller 1_1, which is the first primary seller, to create a menu for accessing the first sale site, a second step of opening, by the car seller, the sales terminal 1_1, a menu 1_1 for sale through which the first sales site can be accessed at a predetermined location of a specific site;The sales terminal 1_1, which is the terminal of the primary seller, provides the address of the first sales site to the sales terminal 2_1 of the first and second seller, seller 2_1, to create a menu that can access the first sales site, , the sales terminal 2_1, which is the first secondary seller, in a third step of opening a sales 2_1 menu that can access the first sales site at a predetermined location of a specific site; By increasing the exposure frequency of the access menu of the site, a plurality of purchaser terminals access the first sales site, and the sales terminal 2_1, which is the terminal of the first secondary seller, the sales terminal 3_1 of the first tertiary seller, seller 3_1. The address of the first sales site is provided so that a user can create a menu that can access the first sales site, and the sales terminal 3_1, which is a first tertiary seller, is located at a predetermined location of the specific site for the first sale. a fourth step of opening a sales 3_1 menu that can access the site;The first sales terminal 3_1, which is the terminal of the first tertiary seller, is the address of the first sales site so that the sales terminal 4_1 of the first and fourth seller, seller 4_1, can create a menu that can access the first sales site. and a fifth step of opening a sales 4_1 menu in which the sales terminal 4_1, which is a first quaternary seller, can access the first sales site at a predetermined location of a specific site; and There are a plurality of primary sellers having the right to access the site, and a plurality of secondary sellers having the privilege to access the first sales site are given, and the right to access the first sales site is given. There are a plurality of tertiary sellers having a tertiary degree having a plurality of third-order sellers, and a plurality of fourth-order sellers having an authority to access the first sales site are provided, and the buyer can use the menus made by the first to fourth sellers. When a purchase is made by accessing the first sales site, the producer sends the product to the approached purchaser,Tag information indicating the access route is generated in the tag accessed by the buyer so that the producer can check through which route the buyer accesses the producer during the purchase process. Sales menu information of the upper stage of the menu information is included and information on which path the buyer accessed is included. A phone number of one of the plurality of primary sellers is included, and when the buyer accesses the sales menu of the secondary seller, a first sales site address, a phone number of one of the plurality of primary sellers, and the plurality of secondary sellers One of the phone numbers is included, and when the buyer accesses from the sales menu of the tertiary seller, the address of the first sale site;When one of the plurality of primary sellers, one of the plurality of secondary sellers, and one of the plurality of tertiary sellers is included, and the purchaser accesses from the sales menu of the fourth seller, the first a sales site address, a phone number of one of the plurality of primary sellers, a phone number of one of the plurality of secondary sellers, a telephone number of one of the plurality of tertiary sellers, and a telephone number of one of the plurality of quaternary sellers When a purchase action occurs by the purchaser according to The producer pays Xa% of the sales to the primary seller, Xb% of the sales to the secondary seller, Xc% of the sales to the tertiary seller, and Xd% of the sales to the fourth seller according to the contribution to each seller, but Xa, Xb , Xc,Xd may be the same or different, and the producer terminal of another producer who produces the product connects to the server providing server to sell the product it has produced and uses the opening tool provided by the service providing server. 2 A sixth step of opening a second sales site for selling items for sale; The service providing server provides the address of the second sales site so as to create a menu for accessing the second sales site through the sales terminal 1b_1 of the seller 1b_1, which is the first primary seller, to the second sales site. a seventh step of opening, in the first primary seller, the sales terminal 1b_1, at a predetermined location of a specific site, a menu of sales 1b_1 through which the second sales site can be accessed;With respect to the second sales site, the sales terminal 1b_1, which is a terminal of the primary seller, creates a menu for the sales terminal 2b_1 of the first secondary seller, seller 2b_1, to access the second sales site. An eighth step of providing the address of the site, and the sales terminal 2b_1, which is a first secondary seller, opening a menu for sale 2b_1 that can access the second sales site at a predetermined location of a specific site; A marketing sales construction method for increasing the exposure frequency of sales menus, characterized in that by increasing the exposure frequency of the access menu of the second sales site according to the method, a plurality of purchaser terminals access the second sales site.</t>
  </si>
  <si>
    <t>A service providing server equipped with a shopping mall to provide an opening tool for opening a product sales site to a plurality of producers; a first step of accessing the server providing server to sell the product and opening a first sales site of a first product using the opening tool provided by the service providing server;The service providing server provides the address of the first sales site to the sales terminal 1_1 of the seller 1_1, which is the first primary seller, to create a menu for accessing the first sale site, a second step of opening, by the car seller, the sales terminal 1_1, a menu 1_1 for sale through which the first sales site can be accessed at a predetermined location of a specific site;The sales terminal 1_1, which is the terminal of the primary seller, provides the address of the first sales site to the sales terminal 2_1 of the first and second seller, seller 2_1, to create a menu that can access the first sales site, , the sales terminal 2_1, which is the first secondary seller, in a third step of opening a sales 2_1 menu that can access the first sales site at a predetermined location of a specific site; By increasing the exposure frequency of the access menu of the site, a plurality of purchaser terminals access the first sales site, and the sales terminal 2_1, which is the terminal of the first secondary seller, the sales terminal 3_1 of the first tertiary seller, seller 3_1. The address of the first sales site is provided so that a user can create a menu that can access the first sales site, and the sales terminal 3_1, which is a first tertiary seller, is located at a predetermined location of the specific site for the first sale. a fourth step of opening a sales 3_1 menu that can access the site;The first sales terminal 3_1, which is the terminal of the first tertiary seller, is the address of the first sales site so that the sales terminal 4_1 of the first and fourth seller, seller 4_1, can create a menu that can access the first sales site. and a fifth step of opening a sales 4_1 menu in which the sales terminal 4_1, which is a first quaternary seller, can access the first sales site at a predetermined location of a specific site; and There are a plurality of primary sellers having the right to access the site, and a plurality of secondary sellers having the privilege to access the first sales site are given, and the right to access the first sales site is given. There are a plurality of tertiary sellers having a tertiary degree having a plurality of third-order sellers, and a plurality of fourth-order sellers having an authority to access the first sales site are provided, and the buyer can use the menus made by the first to fourth sellers. When a purchase is made by accessing the first sales site, the producer sends the product to the approached purchaser,
Tag information indicating the access route is generated in the tag accessed by the buyer so that the producer can check through which route the buyer accesses the producer during the purchase process. Sales menu information of the upper stage of the menu information is included and information on which path the buyer accessed is included. A phone number of one of the plurality of primary sellers is included, and when the buyer accesses the sales menu of the secondary seller, a first sales site address, a phone number of one of the plurality of primary sellers, and the plurality of secondary sellers One of the phone numbers is included, and when the buyer accesses from the sales menu of the tertiary seller, the address of the first sale site;
When one of the plurality of primary sellers, one of the plurality of secondary sellers, and one of the plurality of tertiary sellers is included, and the purchaser accesses from the sales menu of the fourth seller, the first a sales site address, a phone number of one of the plurality of primary sellers, a phone number of one of the plurality of secondary sellers, a telephone number of one of the plurality of tertiary sellers, and a telephone number of one of the plurality of quaternary sellers When a purchase action occurs by the purchaser according to The producer pays Xa% of the sales to the primary seller, Xb% of the sales to the secondary seller, Xc% of the sales to the tertiary seller, and Xd% of the sales to the fourth seller according to the contribution to each seller, but Xa, Xb , Xc,
Xd may be the same or different, and the producer terminal of another producer who produces the product connects to the server providing server to sell the product it has produced and uses the opening tool provided by the service providing server. 2 A sixth step of opening a second sales site for selling items for sale; The service providing server provides the address of the second sales site so as to create a menu for accessing the second sales site through the sales terminal 1b_1 of the seller 1b_1, which is the first primary seller, to the second sales site. a seventh step of opening, in the first primary seller, the sales terminal 1b_1, at a predetermined location of a specific site, a menu of sales 1b_1 through which the second sales site can be accessed;
With respect to the second sales site, the sales terminal 1b_1, which is a terminal of the primary seller, creates a menu for the sales terminal 2b_1 of the first secondary seller, seller 2b_1, to access the second sales site. An eighth step of providing the address of the site, and the sales terminal 2b_1, which is a first secondary seller, opening a menu for sale 2b_1 that can access the second sales site at a predetermined location of a specific site; A marketing sales construction method for increasing the exposure frequency of sales menus, characterized in that by increasing the exposure frequency of the access menu of the second sales site according to the method, a plurality of purchaser terminals access the second sales site.
delete
delete
The sales 1_1 menu opened by the sales terminal 1_1 of the first primary seller according to claim 1, wherein when there are a plurality of primary sellers who have the authority to access the first sales site, but there are four primary sellers. and, the sales 1_2 menu opened by the sales terminal 1_2 of the second primary seller, the sales 1_3 menu opened by the sales terminal 1_3 of the third primary seller, and the sales terminal 1_4 of the fourth primary seller A marketing sales construction method for increasing the exposure frequency of sales menus, characterized in that the number of sales menus is adjusted by including the sales 1_4 menu opened by
5. The method according to claim 4, wherein each of the first to fourth primary sellers has a plurality of secondary sellers having the right to access the first sales site, and if there are four secondary sellers, the first secondary seller The sales 2_1 menu opened by the sales terminal 2_1 of the seller, the sales 2_2 menu opened by the sales terminal 2_2 of the second secondary seller, and the sales 2_3 menu opened by the sales terminal 2_3 of the third secondary seller and sales 2_4 menu opened by the sales terminal 2_4 of the fourth secondary seller, and adding or deleting the secondary seller as necessary to adjust the number of sales menus How to build marketing sales to increase.
[6] The first to fourth secondary sellers according to claim 5, wherein a plurality of tertiary sellers having the right to access the first sales site are provided in each of the first to fourth secondary sellers. The sale 3_1 menu opened by the sales terminal 3_1 of the seller, the sale 3_2 menu opened by the sales terminal 3_2 of the second tertiary seller, and the sale 3_3 menu opened by the sales terminal 3_3 of the third tertiary seller and sales 3_4 menu opened by the sales terminal 3_4 of the fourth tertiary seller; How to build marketing sales to increase.
[Claim 7] The first to fourth tertiary sellers according to claim 6, wherein a plurality of quaternary sellers having an authority to access the first sales site are provided in each of the first to fourth tertiary sellers. The sales 4_1 menu opened by the sales terminal 4_1 of the seller, the sales 4_2 menu opened by the sales terminal 4_2 of the second quaternary seller, and the sales 4_3 menu opened by the sales terminal 4_3 of the third quaternary seller and the sales menu exposure frequency, characterized in that the number of sales menus is adjusted by adding or deleting the quaternary seller as necessary, including the sales 4_4 menu opened by the sales terminal 4_4 of the fourth quaternary seller. How to build marketing sales to increase.
The sales according to claim 1, wherein the producer terminal specifies the conditions for becoming a primary seller when opening the first sales site through the opening tool, and grants the primary seller authority only to those who meet the specific conditions. How to build marketing sales to increase the frequency of menu exposure.
The method of claim 8, wherein the specific condition affects the sales quantity according to the activity of the primary seller. A marketing sales construction method that increases the frequency of exposure of the sales menu, characterized in that it is limited to those who have strength in sales.</t>
  </si>
  <si>
    <t>G06Q03006000 | G06Q03002000 | G06Q05000000</t>
  </si>
  <si>
    <t>KR102423445B1</t>
  </si>
  <si>
    <t>KR102423445 B1</t>
  </si>
  <si>
    <t>I-000228315332</t>
  </si>
  <si>
    <t>https://patentscout.innography.com/share/qUbz4JaVy7VuLItY9D5rsg%3D%3D</t>
  </si>
  <si>
    <t>2022-07-06-DECISION TO GRANT OR REGISTRATION OF PATENT RIGHT|2022-07-18-WRITTEN DECISION TO GRANT</t>
  </si>
  <si>
    <t>https://patentscout.innography.com/share/qUbz4JaVy7VuLItY9D5rsg%3D%3D/download</t>
  </si>
  <si>
    <t>https://v3.espacenet.com/publicationDetails/biblio?CC=KR&amp;NR=102423445B1&amp;KC=B1&amp;FT=D&amp;date=20220720&amp;DB=EPODOC&amp;locale=</t>
  </si>
  <si>
    <t>KR20102423445 B1</t>
  </si>
  <si>
    <t>1.  A service providing server equipped with a shopping mall to provide an opening tool for opening a product sales site to a plurality of producers; a first step of accessing the server providing server to sell the product and opening a first sales site of a first product using the opening tool provided by the service providing server;The service providing server provides the address of the first sales site to the sales terminal 1_1 of the seller 1_1 , which is the first primary seller, to create a menu for accessing the first sale site, a second step of opening, by the car seller, the sales terminal 1_1 , a menu 1_1 for sale through which the first sales site can be accessed at a predetermined location of a specific site;The sales terminal 1_1 , which is the terminal of the primary seller, provides the address of the first sales site to the sales terminal 2_1 of the first and second seller, seller 2_1 , to create a menu that can access the first sales site, , the sales terminal 2_1 , which is the first secondary seller, in a third step of opening a sales 2_1 menu that can access the first sales site at a predetermined location of a specific site; By increasing the exposure frequency of the access menu of the site, a plurality of purchaser terminals access the first sales site, and the sales terminal 2_1 , which is the terminal of the first secondary seller, the sales terminal 3_1 of the first tertiary seller, seller 3_1.  The address of the first sales site is provided so that a user can create a menu that can access the first sales site, and the sales terminal 3_1 , which is a first tertiary seller, is located at a predetermined location of the specific site for the first sale. a fourth step of opening a sales 3_1 menu that can access the site;The first sales terminal 3_1 , which is the terminal of the first tertiary seller, is the address of the first sales site so that the sales terminal 4_1 of the first and fourth seller, seller 4_1 , can create a menu that can access the first sales site. and a fifth step of opening a sales 4_1 menu in which the sales terminal 4_1 , which is a first quaternary seller, can access the first sales site at a predetermined location of a specific site; and There are a plurality of primary sellers having the right to access the site, and a plurality of secondary sellers having the privilege to access the first sales site are given, and the right to access the first sales site is given. There are a plurality of tertiary sellers having a tertiary degree having a plurality of third-order sellers, and a plurality of fourth-order sellers having an authority to access the first sales site are provided, and the buyer can use the menus made by the first to fourth sellers. When a purchase is made by accessing the first sales site, the producer sends the product to the approached purchaser,
Tag information indicating the access route is generated in the tag accessed by the buyer so that the producer can check through which route the buyer accesses the producer during the purchase process. Sales menu information of the upper stage of the menu information is included and information on which path the buyer accessed is included. A phone number of one of the plurality of primary sellers is included, and when the buyer accesses the sales menu of the secondary seller, a first sales site address, a phone number of one of the plurality of primary sellers, and the plurality of secondary sellers One of the phone numbers is included, and when the buyer accesses from the sales menu of the tertiary seller, the address of the first sale site;
When one of the plurality of primary sellers, one of the plurality of secondary sellers, and one of the plurality of tertiary sellers is included, and the purchaser accesses from the sales menu of the fourth seller, the first a sales site address, a phone number of one of the plurality of primary sellers, a phone number of one of the plurality of secondary sellers, a telephone number of one of the plurality of tertiary sellers, and a telephone number of one of the plurality of quaternary sellers When a purchase action occurs by the purchaser according to The producer pays Xa% of the sales to the primary seller, Xb% of the sales to the secondary seller, Xc% of the sales to the tertiary seller, and Xd% of the sales to the fourth seller according to the contribution to each seller, but Xa, Xb , Xc,
Xd may be the same or different, and the producer terminal of another producer who produces the product connects to the server providing server to sell the product it has produced and uses the opening tool provided by the service providing server. 2 A sixth step of opening a second sales site for selling items for sale; The service providing server provides the address of the second sales site so as to create a menu for accessing the second sales site through the sales terminal 1b_1 of the seller 1b_1 , which is the first primary seller, to the second sales site. a seventh step of opening, in the first primary seller, the sales terminal 1b_1 , at a predetermined location of a specific site, a menu of sales 1b_1 through which the second sales site can be accessed;
With respect to the second sales site, the sales terminal 1b_1 , which is a terminal of the primary seller, creates a menu for the sales terminal 2b_1 of the first secondary seller, seller 2b_1 , to access the second sales site. An eighth step of providing the address of the site, and the sales terminal 2b_1 , which is a first secondary seller, opening a menu for sale 2b_1 that can access the second sales site at a predetermined location of a specific site; A marketing sales construction method for increasing the exposure frequency of sales menus, characterized in that by increasing the exposure frequency of the access menu of the second sales site according to the method, a plurality of purchaser terminals access the second sales site.</t>
  </si>
  <si>
    <t>2022-08-11</t>
  </si>
  <si>
    <t>2019-06-27</t>
  </si>
  <si>
    <t>2022-03-05</t>
  </si>
  <si>
    <t>2039-06-27</t>
  </si>
  <si>
    <t>2020-12-31</t>
  </si>
  <si>
    <t>Systems and methods are disclosed to inspect an eye includes capturing an eye image using a mobile device camera; extracting features of the eye; applying a deep learning neural network to detect the eye for identification.</t>
  </si>
  <si>
    <t>Metaverse system</t>
  </si>
  <si>
    <t>Tran Bao</t>
  </si>
  <si>
    <t>US17/687611</t>
  </si>
  <si>
    <t xml:space="preserve">A method to analyze an eye, comprising:
capturing an eye image using a mobile device camera coupled to a processor;
capturing gyroscope or accelerometer readings as image metadata to aid in orientation normalization and image registration by the processor;
extracting features of the eye using the image corrected with image metadata; and
applying the extracted features to a deep learning neural network to detect eye condition or identify the eye by the processor.
</t>
  </si>
  <si>
    <t>1. A method to analyze an eye, comprising:
capturing an eye image using a mobile device camera coupled to a processor;
capturing gyroscope or accelerometer readings as image metadata to aid in orientation normalization and image registration by the processor;
extracting features of the eye using the image corrected with image metadata; and
applying the extracted features to a deep learning neural network to detect eye condition or identify the eye by the processor.
2. The method of claim 1, comprising providing an adapter to couple the mobile device to the eye.
3. The method of claim 1, comprising positioning one or more light emitters or light pipes to carry light from the mobile device in an adapter.
4. The method of claim 1, comprising capturing stereo images of the eye, wherein the adapter enables two or more cameras in the mobile device to image the eye.
5. The method of claim 1, comprising applying a conditional GAN to learn image patterns.
6. The method of claim 1, comprising generating features and applying the features to detect similar eye conditions.
7. The method of claim 6, comprising retrieving treatment or diagnosis information from the detected similar eye conditions.
8. The method of claim 1, comprising generating historical feature vectors from one or more eye examinations of a patient, training the deep learning neural network with the historical feature vectors along with eye images, and applying the trained deep learning neural network to diagnose the eye.
9. The method of claim 1, comprising detecting laser damage on the eye using the deep learning network.
10. The method of claim 1, comprising providing a similarity search for the eye image.
11. The method of claim 1, comprising displaying from a database eye images similar to the eye image captured by the mobile device camera.
12. The method of claim 1, wherein the mobile device camera comprises an optical zoom lens.
13. The method of claim 12, comprising controlling the optical zoom lens to focus on a posterior of the eye; providing a neural network trained to focus on structures on the posterior of the eye; and imaging the posterior of the eye.
14. The method of claim 1, comprising providing background lighting for imaging cataract in the eye with retroillumination.
15. The method of claim 1, comprising determining intraocular pressure (TOP) with the deep learning neural network trained on mapping lens curvature to TOP.
16. The method of claim 15, comprising calibrating the TOP with a tonometer in an adapter.
17. The method of claim 1, comprising imaging a posterior of the eye with solid state lighting units and light conditioning optics, further comprising emitting light with narrow spectral bandwidth, broad spectral bandwidth, visible spectrum, or invisible spectrum.
18. The method of claim 1, comprising placing light sources and sensors in an adapter positioned between the mobile device camera and the eye.
19. The method of claim 1, wherein the eye condition comprises myopia, hyperopia, astigmatism, or presbyopia.
20. The method of claim 1, wherein the mobile device compensates for the eye condition during usage.</t>
  </si>
  <si>
    <t>Tran, Bao</t>
  </si>
  <si>
    <t>A61B0003140000</t>
  </si>
  <si>
    <t>A61B0003140000 | A61B0003002500 | A61B0003000800 | A61B0003001600 | A61B0003107000 | A61B0003160000 | G06T2207200840 | G06T2207300410 | G16H0030400000 | G16H0050200000</t>
  </si>
  <si>
    <t>A61B00314000</t>
  </si>
  <si>
    <t>A61B00314000 | A61B00300000 | A61B00310700 | A61B00316000 | G16H03040000</t>
  </si>
  <si>
    <t>US20200405148A1|US11298017B2|US20220248955A1</t>
  </si>
  <si>
    <t>$9261</t>
  </si>
  <si>
    <t>US20200405148 A1 | US11298017 B2 | US20220248955 A1</t>
  </si>
  <si>
    <t>I-000228414794</t>
  </si>
  <si>
    <t>20 years from 2019-06-27 (file date of patent US11298017)</t>
  </si>
  <si>
    <t>https://patentscout.innography.com/share/LV1ivCiImLqrOnlLgOmNQw%3D%3D</t>
  </si>
  <si>
    <t>2022-05-03-INFORMATION ON STATUS: PATENT APPLICATION AND GRANTING PROCEDURE IN GENERAL</t>
  </si>
  <si>
    <t>https://patentscout.innography.com/share/LV1ivCiImLqrOnlLgOmNQw%3D%3D/download</t>
  </si>
  <si>
    <t>https://ppubs.uspto.gov/pubwebapp/external.html?q=20220248955.pn.</t>
  </si>
  <si>
    <t>US20220248955 A1</t>
  </si>
  <si>
    <t>US20200405148 A1</t>
  </si>
  <si>
    <t>Trancendant, Inc.</t>
  </si>
  <si>
    <t>1. A method to analyze an eye, comprising:
capturing an eye image using a mobile device camera coupled to a processor;
capturing gyroscope or accelerometer readings as image metadata to aid in orientation normalization and image registration by the processor;
extracting features of the eye using the image corrected with image metadata; and
applying the extracted features to a deep learning neural network to detect eye condition or identify the eye by the processor.</t>
  </si>
  <si>
    <t>2022-11-04</t>
  </si>
  <si>
    <t>2022-05-16</t>
  </si>
  <si>
    <t>2032-05-15</t>
  </si>
  <si>
    <t>The utility model claims an interactive design platform based on universe research and development comprising a box body with an upward opening four corners of the lower end of the box body are equipped with supporting legs one side of the bottom of the box body is equipped with a motor A the output end of the motor A is equipped with a small bevel gear the position of the inner bottom of the box body close to the motor A is rotatably connected with an adjusting rod screw thread the lower end of the adjusting rod screw thread fixedly installed with a big bevel gear of meshing small bevel gear the outer part of the adjusting rod screw thread located on the big bevel gear is rotatably connected with a lifting plate the middle part of the upper surface of the lifting plate is fixedly installed with a mounting table. In the process of using the utility model through adjusting the angle of the display screen it is convenient to sit on the research staff of different angles for alternating current and interaction the operation is convenient and simple the display requirements of different angles can satisfy.</t>
  </si>
  <si>
    <t>Interactive design platform based on metaverse research and development</t>
  </si>
  <si>
    <t>platform based|interactive design|design platform|box body|bevel gear|screw thread|upper surface</t>
  </si>
  <si>
    <t>CN202221165600U</t>
  </si>
  <si>
    <t>1. The interactive design platform based on universe research and development, comprising a box body (1) with an upward opening, wherein the four corners of the lower end of the box body (1) are provided with supporting legs (20), wherein one side of the inner bottom of the box body (1) is provided with a motor A (2), the output end of the motor A (2) is equipped with a small bevel gear (3), the position of the inner bottom of the box body (1) close to the motor A (2) is rotatably connected with an adjusting screw thread (4), the lower end of the screw thread rod (4) is fixedly installed with a big bevel gear (5) which is meshing to the small bevel gear (3), the outer part of the adjusting screw thread (4) located above the big bevel gear (5) is rotatably connected with a lifting plate (6), the middle part of the upper surface of the lifting plate (6) is fixedly installed with a mounting table (7); the middle part of the upper surface of the mounting platform (7) is provided with a rotating seat (8), one side of the upper surface of the rotating seat (8) is provided with a mounting groove (13), two sides of the inner part of the mounting groove (13) are provided with a clamping groove and the clamping groove is provided with a fixing plate (14), the upper surface of the rotating seat (8) is located on the two sides of the mounting groove (13) is fixedly installed with symmetrical supporting frame (9), and the upper end of the supporting frame (9) is installed with a rotating shaft (10), the middle part of the outer surface of the rotating shaft (10) is fixedly sleeved with a mounting rod (11) matched with the mounting groove (13), one end of the mounting rod (11) far away from the mounting groove (13) is fixedly installed with a connecting block and is installed with a display screen (12) through the connecting block, the lower surface of the lifting plate (6) located below the rotating seat (8) is provided with a motor B (22), and the output end of the motor B (22) passes through the inner part of the lifting plate (6) and is connected with the lower surface middle part of the rotating seat (8); two sides of the inner part of the box body (1) are correspondingly provided with a sliding groove (15) in L-shaped state, the inner part of the sliding groove (15) is slidingly connected with a sliding column (17) and is installed with a folding plate (16) through the sliding column (17), the upper surface of the box body (1) is equipped with an operation table (23) and the operation table (23) extends to the outside of the box body (1), the upper surface of the operation table (23) is symmetrically provided with a placing groove (19), the position of the upper surface of the operation table (23) close to the placing groove (19) is equipped with a switch.</t>
  </si>
  <si>
    <t>1. The interactive design platform based on universe research and development, comprising a box body (1) with an upward opening, wherein the four corners of the lower end of the box body (1) are provided with supporting legs (20), wherein one side of the inner bottom of the box body (1) is provided with a motor A (2), the output end of the motor A (2) is equipped with a small bevel gear (3), the position of the inner bottom of the box body (1) close to the motor A (2) is rotatably connected with an adjusting screw thread (4), the lower end of the screw thread rod (4) is fixedly installed with a big bevel gear (5) which is meshing to the small bevel gear (3), the outer part of the adjusting screw thread (4) located above the big bevel gear (5) is rotatably connected with a lifting plate (6), the middle part of the upper surface of the lifting plate (6) is fixedly installed with a mounting table (7); the middle part of the upper surface of the mounting platform (7) is provided with a rotating seat (8), one side of the upper surface of the rotating seat (8) is provided with a mounting groove (13), two sides of the inner part of the mounting groove (13) are provided with a clamping groove and the clamping groove is provided with a fixing plate (14), the upper surface of the rotating seat (8) is located on the two sides of the mounting groove (13) is fixedly installed with symmetrical supporting frame (9), and the upper end of the supporting frame (9) is installed with a rotating shaft (10), the middle part of the outer surface of the rotating shaft (10) is fixedly sleeved with a mounting rod (11) matched with the mounting groove (13), one end of the mounting rod (11) far away from the mounting groove (13) is fixedly installed with a connecting block and is installed with a display screen (12) through the connecting block, the lower surface of the lifting plate (6) located below the rotating seat (8) is provided with a motor B (22), and the output end of the motor B (22) passes through the inner part of the lifting plate (6) and is connected with the lower surface middle part of the rotating seat (8); two sides of the inner part of the box body (1) are correspondingly provided with a sliding groove (15) in L-shaped state, the inner part of the sliding groove (15) is slidingly connected with a sliding column (17) and is installed with a folding plate (16) through the sliding column (17), the upper surface of the box body (1) is equipped with an operation table (23) and the operation table (23) extends to the outside of the box body (1), the upper surface of the operation table (23) is symmetrically provided with a placing groove (19), the position of the upper surface of the operation table (23) close to the placing groove (19) is equipped with a switch.2. The interactive design platform based on meta-space research and development according to claim 1, wherein the upper end of the adjusting screw thread (4) is fixedly installed with a limit block.3. The interactive design platform based on meta-space development according to claim 1, wherein the middle parts of the two sides of the folding plate (16) are provided with pin shafts (18) matched with the sliding grooves (15), and the pin shafts (18) pass through the inner part of the folding plate (16).4. The interactive design platform based on meta-space development according to claim 1, wherein the four corners of the inner bottom of the box body (1) are fixedly mounted with rubber limiting columns (21), and the lower surface of the lifting plate (6) is contact to the rubber limiting column (21). the top part of the motor A (2) and the lifting plate (6) are contact, and the inner bottom of the motor B (22) and the box body (1) is not contact5. The interactive design platform based on meta-space development according to claim 1, wherein when the end part of the mounting rod (11) is inserted in the mounting groove (13), the display screen (12) is in vertical state, one end of the inner part of the mounting platform (7) far away from the display screen (12) is equipped with a host.6. The interactive design platform based on meta-space development according to claim 1, wherein the middle parts of one side of the upper surface and the lower surface of the folding plate (16) are provided with corresponding inner handles.</t>
  </si>
  <si>
    <t>F16M0011040000</t>
  </si>
  <si>
    <t>F16M01104000</t>
  </si>
  <si>
    <t>F16M01104000 | F16M01108000 | F16M01118000 | G06F00116000 | H05K00502000</t>
  </si>
  <si>
    <t>CN217736710U</t>
  </si>
  <si>
    <t>$14814</t>
  </si>
  <si>
    <t>CN217736710 U</t>
  </si>
  <si>
    <t>I-000231751800</t>
  </si>
  <si>
    <t>10 years from 2022-05-15 (the day prior to the file date)</t>
  </si>
  <si>
    <t>https://patentscout.innography.com/share/xa65g3JnmFS1klS1Xb6V8g%3D%3D</t>
  </si>
  <si>
    <t>2022-11-04-PATENT GRANT</t>
  </si>
  <si>
    <t>https://patentscout.innography.com/share/xa65g3JnmFS1klS1Xb6V8g%3D%3D/download</t>
  </si>
  <si>
    <t>https://v3.espacenet.com/publicationDetails/biblio?CC=CN&amp;NR=217736710U&amp;KC=U&amp;FT=D&amp;date=20221104&amp;DB=EPODOC&amp;locale=</t>
  </si>
  <si>
    <t>1.  1.  The interactive design platform based on universe research and development, comprising a box body (1 ) with an upward opening, wherein the four corners of the lower end of the box body (1 ) are provided with supporting legs (20 ), wherein one side of the inner bottom of the box body (1 ) is provided with a motor A (2 ), the output end of the motor A (2 ) is equipped with a small bevel gear (3 ), the position of the inner bottom of the box body (1 ) close to the motor A (2 ) is rotatably connected with an adjusting screw thread (4 ), the lower end of the screw thread rod (4 ) is fixedly installed with a big bevel gear (5 ) which is meshing to the small bevel gear (3 ), the outer part of the adjusting screw thread (4 ) located above the big bevel gear (5 ) is rotatably connected with a lifting plate (6 ), the middle part of the upper surface of the lifting plate (6 ) is fixedly installed with a mounting table (7 ); the middle part of the upper surface of the mounting platform (7 ) is provided with a rotating seat (8 ), one side of the upper surface of the rotating seat (8 ) is provided with a mounting groove (13 ), two sides of the inner part of the mounting groove (13 ) are provided with a clamping groove and the clamping groove is provided with a fixing plate (14 ), the upper surface of the rotating seat (8 ) is located on the two sides of the mounting groove (13 ) is fixedly installed with symmetrical supporting frame (9 ), and the upper end of the supporting frame (9 ) is installed with a rotating shaft (10 ), the middle part of the outer surface of the rotating shaft (10 ) is fixedly sleeved with a mounting rod (11 ) matched with the mounting groove (13 ), one end of the mounting rod (11 ) far away from the mounting groove (13 ) is fixedly installed with a connecting block and is installed with a display screen (12 ) through the connecting block, the lower surface of the lifting plate (6 ) located below the rotating seat (8 ) is provided with a motor B (22 ), and the output end of the motor B (22 ) passes through the inner part of the lifting plate (6 ) and is connected with the lower surface middle part of the rotating seat (8 ); two sides of the inner part of the box body (1 ) are correspondingly provided with a sliding groove (15 ) in L-shaped state, the inner part of the sliding groove (15 ) is slidingly connected with a sliding column (17 ) and is installed with a folding plate (16 ) through the sliding column (17 ), the upper surface of the box body (1 ) is equipped with an operation table (23 ) and the operation table (23 ) extends to the outside of the box body (1 ), the upper surface of the operation table (23 ) is symmetrically provided with a placing groove (19 ), the position of the upper surface of the operation table (23 ) close to the placing groove (19 ) is equipped with a switch.</t>
  </si>
  <si>
    <t>The invention claims a meta-space virtual image decoration method based on block chain and meta-universe relating to block chain technology field. A specific execution mode of the method comprises: according to the authoring request sent by the author generating a threading work; generating information storage transaction according to the description information and identity information; sending information storage transaction to the block chain and calling the first casting method in the intelligent contract generating the use credential of the threading work and holding by the account of the author; according to the request sent by the creator the identification corresponding to the identification of the use credential of the work piece corresponding to the identification in the meta-universe is sold according to the purchase request sent by the first user for using the certificate transferring the transfer method in the intelligent contract to transfer the use credential of the through work from the account of the author to the account of the first user; decorating the virtual image owned by the first user according to the wearing work. The embodiment is capable of ensuring the safety of the wearing work ensuring the interest of the author.</t>
  </si>
  <si>
    <t>A metaverse virtual image decorating method based on block chain and meta-universe</t>
  </si>
  <si>
    <t>authors|request sent|credentials|threading work</t>
  </si>
  <si>
    <t>CN202210885578A</t>
  </si>
  <si>
    <t>1. A meta-space virtual image decoration method based on block chain, wherein it comprises: according to the authoring request sent by the author, generating a threading work, and recording the description information of the threading work and the identity information of the author; generating information storage transaction according to the description information of the threading work and the identity information of the author, sending information storage transaction to the block chain, correspondingly storing the description information of the threading work and the identity information of the author in the block chain and further calling the first casting method in the pre-deployed intelligent contract in the block chain, based on the description information of the threading work and the identity information of the author, generating a use credential of the pass work and being held by an account of the author; sending according to the author, carrying the on-shelf request of the identification of the threading work, the identification of the use credentials of the threading work corresponding to the identification is sold in the meta-space for selling according to the purchase request sent by the first user for the use credentials, transferring the transfer method in the intelligent contract, to transfer the use credentials of the threading work from the account of the author to the account of the first user; and decorating the virtual image owned by the first user according to the wearing work.</t>
  </si>
  <si>
    <t>1. A meta-space virtual image decoration method based on block chain, wherein it comprises: according to the authoring request sent by the author, generating a threading work, and recording the description information of the threading work and the identity information of the author; generating information storage transaction according to the description information of the threading work and the identity information of the author, sending information storage transaction to the block chain, correspondingly storing the description information of the threading work and the identity information of the author in the block chain and further calling the first casting method in the pre-deployed intelligent contract in the block chain, based on the description information of the threading work and the identity information of the author, generating a use credential of the pass work and being held by an account of the author; sending according to the author, carrying the on-shelf request of the identification of the threading work, the identification of the use credentials of the threading work corresponding to the identification is sold in the meta-space for selling according to the purchase request sent by the first user for the use credentials, transferring the transfer method in the intelligent contract, to transfer the use credentials of the threading work from the account of the author to the account of the first user; and decorating the virtual image owned by the first user according to the wearing work.2. The method according to claim 1, wherein the step of decorating the virtual image owned by the first user according to the wearing work comprises: verifying whether the first user holds the use credential corresponding to the wearing work; if the verification is successful, decorating the virtual image owned by the first user according to the wearing work.3. The method according to claim 1, further comprising: according to the transfer request sent by the first user, invoking the transfer method in the intelligent contract, to transfer the use credential from the account of the first user to the account of the second user.4. The method according to claim 1, wherein the intelligent contract further comprises a second casting method for casting the external authorization voucher. The method further comprises: receiving the external authorization transaction request sent by the current user and signed by the private key thereof; the external authorization transaction request comprises: identifying and requesting information of a third user using the through-work outside the meta-universe outside the identification of the through-work; based on the public key of the author, verifying whether the current user is the author of the wearing work, if so, calling the second casting method in the intelligent contract according to the external authorization transaction request, generating the external authorization credential of the threading work owned by the account of the third user.5. The method according to claim 4, wherein the external authorization transaction request further comprises: transaction amount; The method further includes: according to the description information of the threading work, determining the value score of the threading work; according to the value score and the transaction amount of the threading work, determining whether the external authorization transaction request is legal, if so, executing the second casting method according to the external authorization transaction request to call the intelligent contract.6. The method according to claim 1 or 2, wherein the through work is created by a plurality of the creators together. The method further includes: according to the purchase request, invoking the dividing method in the intelligent contract, dividing account for a plurality of the creators.7. The method according to claim 1 or 4, further comprising: performing identity verification to the creator of the threading work, if the verification is passed, then executing the sending information storage transaction to the block chain.8. An element of the universe, comprising: a processing module configured to generate a through work according to the authoring request sent by the creator, and recording the description information of the wearing work and the identity information of the creator; generating information storage transaction according to the description information of the threading work and the identity information of the author, sending information storage transaction to the block chain, correspondingly storing the description information of the threading work and the identity information of the author in the block chain and further calling the first casting method in the pre-deployed intelligent contract in the block chain, based on the description information of the threading work and the identity information of the author, generating a use credential of the pass work and being held by an account of the author; a transaction module, configured to be sent according to the author, carrying the identification of the wearing work request, the identification corresponding to the identification of the identification of the use credential of the article is sold in the meta-universe, a decoration module, configured to according to the purchase request sent by the first user for the use credential, invoking the transfer method in the intelligent contract, to transfer the use credentials of the threading work from the account of the author to the account of the first user; and decorating the virtual image owned by the first user according to the wearing work.9. An electronic device, wherein it comprises: one or more processors; a storage device, for storing one or more programs, when the one or more programs are executed by the one or more processors, such that the one or more processors implement the method according to any one of claims 1-7.10. A computer readable medium, on which a computer program is stored, wherein the program when executed by a processor implement the method according to any one of claims 1-7.</t>
  </si>
  <si>
    <t>G06Q03006000 | G06Q02038000 | G06Q04004000</t>
  </si>
  <si>
    <t>CN115311045A</t>
  </si>
  <si>
    <t>CN115311045 A</t>
  </si>
  <si>
    <t>I-000232066510</t>
  </si>
  <si>
    <t>https://patentscout.innography.com/share/zcBBx-tTUhNYT-u_npSNuA%3D%3D</t>
  </si>
  <si>
    <t>2022-11-08-PUBLICATION|2022-11-25-ENTRY INTO FORCE OF REQUEST FOR SUBSTANTIVE EXAMINATION</t>
  </si>
  <si>
    <t>https://patentscout.innography.com/share/zcBBx-tTUhNYT-u_npSNuA%3D%3D/download</t>
  </si>
  <si>
    <t>https://v3.espacenet.com/publicationDetails/biblio?CC=CN&amp;NR=115311045A&amp;KC=A&amp;FT=D&amp;date=20221108&amp;DB=EPODOC&amp;locale=</t>
  </si>
  <si>
    <t>1.  1.  A meta-space virtual image decoration method based on block chain, wherein it comprises: according to the authoring request sent by the author, generating a threading work, and recording the description information of the threading work and the identity information of the author; generating information storage transaction according to the description information of the threading work and the identity information of the author, sending information storage transaction to the block chain, correspondingly storing the description information of the threading work and the identity information of the author in the block chain and further calling the first casting method in the pre-deployed intelligent contract in the block chain, based on the description information of the threading work and the identity information of the author, generating a use credential of the pass work and being held by an account of the author; sending according to the author, carrying the on-shelf request of the identification of the threading work, the identification of the use credentials of the threading work corresponding to the identification is sold in the meta-space for selling according to the purchase request sent by the first user for the use credentials, transferring the transfer method in the intelligent contract, to transfer the use credentials of the threading work from the account of the author to the account of the first user; and decorating the virtual image owned by the first user according to the wearing work.</t>
  </si>
  <si>
    <t>8.  8.  An element of the universe, comprising: a processing module configured to generate a through work according to the authoring request sent by the creator, and recording the description information of the wearing work and the identity information of the creator; generating information storage transaction according to the description information of the threading work and the identity information of the author, sending information storage transaction to the block chain, correspondingly storing the description information of the threading work and the identity information of the author in the block chain and further calling the first casting method in the pre-deployed intelligent contract in the block chain, based on the description information of the threading work and the identity information of the author, generating a use credential of the pass work and being held by an account of the author; a transaction module, configured to be sent according to the author, carrying the identification of the wearing work request, the identification corresponding to the identification of the identification of the use credential of the article is sold in the meta-universe, a decoration module, configured to according to the purchase request sent by the first user for the use credential, invoking the transfer method in the intelligent contract, to transfer the use credentials of the threading work from the account of the author to the account of the first user; and decorating the virtual image owned by the first user according to the wearing work.</t>
  </si>
  <si>
    <t>KR101715140 B1 | KR101879130 B1 | KR101966214 B1 | KR20190084458 A | KR20200002491 A</t>
  </si>
  <si>
    <t>2022-11-16</t>
  </si>
  <si>
    <t>A gamification service system for small business owners and users according to an example of the present invention includes: (a) collecting and registering event information; (b) matching small business owners and users using the collected event information; (c) generating an AR content scenario suitable for each information of the small business owner and user; (d) performing a reward according to a result of performing a mission in an AR content scenario by the user; and (e) modifying the AR content scenario by reflecting the result of performing the mission.</t>
  </si>
  <si>
    <t>Method to provide gamification service based on metaverse for small-business owner and user and program thereof</t>
  </si>
  <si>
    <t>Misoinfo Tech.</t>
  </si>
  <si>
    <t>MISOINFO TECH.</t>
  </si>
  <si>
    <t>KR20210100334A</t>
  </si>
  <si>
    <t>A gamification service system for small business owners and users includes: (a) collecting and registering event information;(b) matching two or more small business owners and users using the collected event information;-At this time, in the step (b), a keyword index is built to enable matching between the two or more small businesses and users, and a classification that can be shared among each provided service item so that each item of each provided service of the two or more small businesses can be connected to each other. Designate an item to match the two or more small businesses and users, but in order to activate a specific range of business, at least one of the two or more small businesses is matched with a small business located within a predetermined distance of a preset location to connect between the two or more small businesses Designating classification items that can be shared between each provided service item so that possible - (c) generating an AR content scenario suitable for information of each of the two or more small business owners and users;-The step (c), in order to allow the user to stay in the specific range for a predetermined period of time, if the user is located within a preset distance of the preset location, the mission is continuously sent to the user for a preset period of time. Including the step of granting- (d) performing a reward according to the result of performing a mission of the user's AR content scenario; and -In step (d), compensation is differentially provided according to walking, vehicle, and public transportation used by the user to perform the mission- (e) modifying the AR content scenario by reflecting the result of performing the mission;-In the step (e), the AR content scenario is modified by further reflecting the result of using the user's reward in addition to the result of the user's performance of the mission - Gamification for small business owners and users, characterized in that it includes service method.</t>
  </si>
  <si>
    <t>A gamification service system for small business owners and users includes: (a) collecting and registering event information;(b) matching two or more small business owners and users using the collected event information;-At this time, in the step (b), a keyword index is built to enable matching between the two or more small businesses and users, and a classification that can be shared among each provided service item so that each item of each provided service of the two or more small businesses can be connected to each other. Designate an item to match the two or more small businesses and users, but in order to activate a specific range of business, at least one of the two or more small businesses is matched with a small business located within a predetermined distance of a preset location to connect between the two or more small businesses Designating classification items that can be shared between each provided service item so that possible - (c) generating an AR content scenario suitable for information of each of the two or more small business owners and users;-The step (c), in order to allow the user to stay in the specific range for a predetermined period of time, if the user is located within a preset distance of the preset location, the mission is continuously sent to the user for a preset period of time. Including the step of granting- (d) performing a reward according to the result of performing a mission of the user's AR content scenario; and -In step (d), compensation is differentially provided according to walking, vehicle, and public transportation used by the user to perform the mission- (e) modifying the AR content scenario by reflecting the result of performing the mission;-In the step (e), the AR content scenario is modified by further reflecting the result of using the user's reward in addition to the result of the user's performance of the mission - Gamification for small business owners and users, characterized in that it includes service method.
The method of claim 1, wherein the step (b) comprises (b-1) first basic information including small business type, product information, price, GIS, phone number, use rating, small business SNS information, and small business event information and user Collecting basic data including second basic information including age, gender, GPS, interest information, and taste information;(b-2) constructing a keyword index to enable small business owners and users to match by hierarchically designating category items according to categories of the basic data;(b-3) To designate a classification item that can be shared between each of the provided service items so that each of the provided service items of the two or more small businesses can be connected to each otherstep; and (b-4) matching the two or more small business owners and users.
The method of claim 2, wherein step (c) comprises: (c-1) applying a collaborative filtering algorithm to provide a scenario recommendation result optimized for a user; -Here, the collaborative filtering algorithm recommends another target whose preference correlation with the recommendation result is greater than or equal to a preset value based on the recommendation history- (c-2) Applying an evaluation algorithm that selects small business owners whose satisfaction is higher than a threshold value as the highest priority step; and (c-3) creating an AR content scenario by recommending an AR content scenario to the user, but when the recommended AR content scenario is rejected by the user, after collecting scenario mission difficulty adjustment information and compensation range selection information, the above (A gamification service method for small business owners and users, comprising the steps of regenerating an AR content scenario by re-performing steps c-1) to (C-2).
The method of claim 3, wherein the step (c-3) comprises the step of generating an AR content scenario assigned a mission so that the created content reacts according to the movement and behavior of the user; Gamification service method for
delete
The method of claim 4, wherein in the step (b), at least one of the two or more small businesses is located outside a preset distance from the preset location, and is preset in the specific range of commercial areas for the purpose of activating the specific range of commercial areas. In order to keep the period, the user and the two or more small businesses are designated to share a classification item that can be shared between each provided service item so that the connection between the two or more small businesses is possible, and the user and the two or more small businesses are guided to the two or more small businesses. A gamification service method for small business owners and users, comprising the step of matching them.
delete
A computer program disposed on a computer readable medium operable to control at least one computer to perform the method of claim 1.</t>
  </si>
  <si>
    <t>An, Dong Uk|Lee, So Il|Hwang, Eui Su</t>
  </si>
  <si>
    <t>G06Q03002000 | G06Q03006000 | G06Q05010000 | G06T01900000</t>
  </si>
  <si>
    <t>KR102466655B1</t>
  </si>
  <si>
    <t>KR102466655 B1</t>
  </si>
  <si>
    <t>I-000233025170</t>
  </si>
  <si>
    <t>https://patentscout.innography.com/share/myePCAmIWei_KoKNqaH1ng%3D%3D</t>
  </si>
  <si>
    <t>2022-09-19-NOTIFICATION OF REASON FOR REFUSAL|2022-10-31-DECISION TO GRANT OR REGISTRATION OF PATENT RIGHT|2022-11-09-WRITTEN DECISION TO GRANT</t>
  </si>
  <si>
    <t>https://patentscout.innography.com/share/myePCAmIWei_KoKNqaH1ng%3D%3D/download</t>
  </si>
  <si>
    <t>https://v3.espacenet.com/publicationDetails/biblio?CC=KR&amp;NR=102466655B1&amp;KC=B1&amp;FT=D&amp;date=20221116&amp;DB=EPODOC&amp;locale=</t>
  </si>
  <si>
    <t>KR20102466655 B1</t>
  </si>
  <si>
    <t>1.  A gamification service system for small business owners and users includes: (a) collecting and registering event information;(b) matching two or more small business owners and users using the collected event information;-At this time, in the step (b), a keyword index is built to enable matching between the two or more small businesses and users, and a classification that can be shared among each provided service item so that each item of each provided service of the two or more small businesses can be connected to each other. Designate an item to match the two or more small businesses and users, but in order to activate a specific range of business, at least one of the two or more small businesses is matched with a small business located within a predetermined distance of a preset location to connect between the two or more small businesses Designating classification items that can be shared between each provided service item so that possible - (c) generating an AR content scenario suitable for information of each of the two or more small business owners and users;-The step (c), in order to allow the user to stay in the specific range for a predetermined period of time, if the user is located within a preset distance of the preset location, the mission is continuously sent to the user for a preset period of time. Including the step of granting- (d) performing a reward according to the result of performing a mission of the user's AR content scenario; and -In step (d), compensation is differentially provided according to walking, vehicle, and public transportation used by the user to perform the mission- (e) modifying the AR content scenario by reflecting the result of performing the mission;-In the step (e), the AR content scenario is modified by further reflecting the result of using the user's reward in addition to the result of the user's performance of the mission - Gamification for small business owners and users, characterized in that it includes service method.</t>
  </si>
  <si>
    <t>US5736982 A | US6772195 B1 | US7840668 B1 | US20040059443 A1 | US20040156380 A1 | US20050105464 A1</t>
  </si>
  <si>
    <t>US9591141 B1 | US9621731 B2 | WO2018106327 A1 | CN106886416 A | US10609018 B2 | CN108712359 A | US10817066 B2 | US10848446 B1 | US10852918 B1 | US10855632 B2 | US10861170 B1 | US10872451 B2 | US10880246 B2 | US10893385 B1 | US10895964 B1 | US10896534 B1 | WO2020257453 A1 | US10902661 B1 | US10904181 B2 | US10911387 B1 | US10936066 B1 | US10936157 B2 | US10938758 B2 | US10939246 B1 | US10945098 B2 | US10949648 B1 | US10951562 B2 | US10952013 B1 | US10963529 B1 | US10964082 B2 | US10979752 B1 | USD916809 S1 | USD916810 S1 | USD916811 S1 | USD916871 S1 | USD916872 S1 | US10984569 B2 | US10984575 B2 | US10991395 B1 | US10992619 B2 | US11010022 B2 | US11030789 B2 | US11030813 B2 | US11032670 B1 | US11036781 B1 | US11036989 B1 | US11039270 B2 | US11048916 B2 | US11055514 B1 | US11063891 B2 | US11069103 B1 | US11074675 B2 | US11080917 B2 | US11100311 B2 | US11103795 B1 | US11115444 B2 | US11120597 B2 | US11120601 B2 | US11122094 B2 | US11128586 B2 | US11128715 B1 | US11140515 B1 | CN109891369 A | US11166123 B1 | US11169658 B2 | US11171902 B2 | US11176737 B2 | US11188190 B2 | US11189070 B2 | US11189098 B2 | US11199957 B1 | US11217020 B2 | US11218433 B2 | US11218838 B2 | US11227442 B1 | US11229849 B2 | US11245658 B2 | US11263254 B2 | US11263817 B1 | US11270491 B2 | US11275439 B2 | US11284144 B2 | US11294545 B2 | US11294936 B1 | US11301117 B2 | US11307747 B2 | US11310176 B2 | US11315259 B2 | US11320969 B2 | US11321896 B2 | US11348301 B2 | US11354843 B2 | US11356720 B2 | US11360733 B2 | US11385763 B2 | US11392264 B1 | US11411895 B2 | US11418470 B2 | US11418906 B2 | US11425062 B2 | US11425068 B2 | US20220255995 A1 | US11438288 B2 | US11438341 B1 | US11443491 B2 | US11443772 B2 | US11450051 B2 | US11451956 B1 | US11452939 B2 | US11455081 B2 | US11455082 B2 | US11460974 B1 | US11468618 B2 | US11474663 B2 | US11475650 B2 | US11477149 B2 | US20220321832 A1 | US11480791 B2 | US11481963 B2 | US11496571 B2 | CN110603539 A | US11509615 B2 | US11514656 B2 | US11516173 B1 | US11516297 B2 | US11523159 B2 | US11532105 B2 | US11543939 B2 | US11544885 B2 | US11544902 B2 | US11544883 B1 | US8849917 B2 | US9007421 B2 | US20150019729 A1 | US9083654 B2 | US20150222677 A1 | US9420108 B1 | US9537911 B1 | US20120327173 A1 | US8650255 B2 | US20100169435 A1 | US20120151060 A1</t>
  </si>
  <si>
    <t>2009-12-10</t>
  </si>
  <si>
    <t>2008-06-09</t>
  </si>
  <si>
    <t>2012-05-01</t>
  </si>
  <si>
    <t>A system and method for allowing a first user and a second user to converse privately in a public place in a metaverse application. The metaverse system includes a metaverse server and a privacy engine. The metaverse server executes a metaverse application. The metaverse application includes a metaverse virtual world that enables a first user to interact with a second user in a public place of the metaverse virtual world. The privacy engine is coupled to the metaverse server. The privacy engine recognizes a private conversation trigger and creates a virtual private space in the public place of the metaverse virtual world in response to the private conversation trigger. The virtual private space facilitates a private audio conversation between the first user and the second user within the public place of the metaverse virtual world.</t>
  </si>
  <si>
    <t>System and method for private conversation in a public space of a virtual world</t>
  </si>
  <si>
    <t>Clark Jason T; Dewar Ami H; Leah Robert C; Poore Nicholas E; Yim Peter C</t>
  </si>
  <si>
    <t>US12/135336</t>
  </si>
  <si>
    <t>CLAUDIA B DRAGOESCU</t>
  </si>
  <si>
    <t>2141: Graphical User Interface and Document Processing</t>
  </si>
  <si>
    <t xml:space="preserve">A computer program product comprising a computer useable storage medium to store a computer readable program that, when executed on a computer, causes the computer to perform operations comprising:
enable a first user on a first client computer to interact in a public place of a metaverse virtual world with a second user on a second client computer;
recognize a private conversation trigger; and
create a virtual private space in the public place of the metaverse virtual world in response to the private conversation trigger, wherein the virtual private space facilitates a private audio conversation between the first user and the second user within the public place of the metaverse virtual world.
</t>
  </si>
  <si>
    <t>1. A computer program product comprising a computer useable storage medium to store a computer readable program that, when executed on a computer, causes the computer to perform operations comprising:
enable a first user on a first client computer to interact in a public place of a metaverse virtual world with a second user on a second client computer;
recognize a private conversation trigger; and
create a virtual private space in the public place of the metaverse virtual world in response to the private conversation trigger, wherein the virtual private space facilitates a private audio conversation between the first user and the second user within the public place of the metaverse virtual world.
2. The computer program product of claim 1, wherein the computer readable program, when executed on the computer, causes the computer to perform further operations to create the virtual private space when an avatar of the first user aligns face-to-face with an avatar of the second user within a specified proximity in relation to one another.
3. The computer program of claim 1, wherein the computer readable program, when executed on the computer, causes the computer to perform further operations to display a privacy configuration interface, wherein the privacy configuration interface allows the first user to configure a privacy setting associated with the private audio conversation.
4. The computer program of claim 1, wherein the computer readable program, when executed on the computer, causes the computer to perform further operations comprising:
display a private conversation border around the virtual private space, wherein the private conversation border approximately defines an area of the virtual private space; and
display private conversation indicators relative to the first and second users of the private audio conversation, wherein the private conversation indicators indicate to users outside of the private audio conversation that the first and second users are participants of the private audio conversation.
5. The computer program of claim 1, wherein the computer readable program, when executed on the computer, causes the computer to perform further operations to visually fade a space outside of the virtual private space from the perspective of the first and second users.
6. The computer program of claim 1, wherein the computer readable program, when executed on the computer, causes the computer to perform further operations comprising:
initiate a first sound profile for any sound that originates within the virtual private space; and
initiate a second sound profile for any sound that originates outside of the virtual private space, wherein the second sound profile defines a lower volume than the first sound profile.
7. The computer program product of claim 1, wherein the computer readable program, when executed on the computer, causes the computer to perform further operations to send an invitation from the first user to the second user to join the private audio conversation.
8. The computer program product of claim 1, wherein the computer readable program, when executed on the computer, causes the computer to perform further operations to send a request from a third user to the first user to allow the third user to join the private audio conversation.
9. The computer program product of claim 1, wherein the computer readable program, when executed on the computer, causes the computer to perform further operations to transmit a voice input from the first user on the first client computer over a network to the second user on the second client computer, wherein only the first and second users hear the voice input of the first user.
10. The computer program product of claim 1, wherein the computer readable program, when executed on the computer, causes the computer to perform further operations comprising:
configure a privacy setting associated with the private audio conversation; and
store the privacy setting.
11. A system comprising:
a metaverse server coupled to a network, the metaverse server to execute a metaverse application, wherein the metaverse application comprises a metaverse virtual world and enables a first user to interact with a second user in a public place of the metaverse virtual world; and
a privacy engine coupled to the metaverse server, the privacy engine to recognize a private conversation trigger and to create a virtual private space in the public place of the metaverse virtual world in response to the private conversation trigger, wherein the virtual private space facilitates a private audio conversation between the first user and the second user within the public place of the metaverse virtual world.
12. The system of claim 11, wherein the privacy engine is further configured to create the virtual private space when an avatar of the first user aligns face-to-face with an avatar of the second user within a specified proximity in relation to one another.
13. The system of claim 11, wherein the privacy engine comprises a visual modifier, the visual modifier to display a private conversation border around the virtual private space, wherein the private conversation border approximately defines an area of the virtual private space.
14. The system of claim 13, wherein the visual modifier is further configured to display private conversation indicators relative to the first and second users of the private audio conversation, wherein the private conversation indicators indicate to users outside of the private audio conversation that the first and second users are participants of the private audio conversation.
15. The system of claim 11, wherein the privacy engine comprises an audio modifier, the audio modifier to initiate a first sound profile for any sound that originates within the virtual private space and to initiate a second sound profile for any sound that originates outside of the virtual private space, wherein the first sound profile defines a higher volume than the second sound profile.
16. The system of claim 11, wherein the privacy engine further comprises a privacy configurator, the privacy configurator to implement a privacy configuration interface and to allow the first user to configure privacy settings associated with the private audio conversation.
17. The system of claim 16, further comprising a memory device coupled to the privacy engine, the memory device to store the privacy settings and to store instructions associated with the privacy engine.
18. The system of claim 10, wherein the metaverse server further comprises a participation controller, the participation controller to enable the first user to send an invitation to another user to join the private audio conversation.
19. The system of claim 18, wherein the participation controller is further configured to enable a third user to send a request to the first user to allow the third user to join the private audio conversation.
20. A method comprising:
enabling a first user on a first client computer to interact in a metaverse virtual world with a second user;
recognizing a private conversation trigger; and
creating a virtual private space in the public place of the metaverse virtual world in response to the private conversation trigger, wherein the virtual private space facilitates a private audio conversation between the first user and the second user within the public place of the metaverse virtual world.
21. The method of claim 20, further comprising creating the virtual private space when an avatar of the first user aligns face-to-face with an avatar of the second user within a specified proximity in relation to one another.
22. The method of claim 20, further comprising:
displaying a private conversation border around the virtual private space, wherein the private conversation border approximately defines an area of the virtual private space;
visually fading a space outside of the virtual private space from the perspective of the first and second users; and
displaying private conversation indicators relative to the first and second users of the private audio conversation, wherein the private conversation indicators indicate to users outside of the private audio conversation that the first and second users are participants of the private audio conversation.
23. The method of claim 20, further comprising:
initiating a first sound profile for any sound that originates within the virtual private space; and
initiating a second sound profile for any sound that originates outside of the virtual private space, wherein the second sound profile defines a lower volume than the first sound profile.
24. The method of claim 20, further comprising sending an invitation from the first user to another user to join the private audio conversation.
25. The method of claim 20, further comprising sending a request from a third user to the first user to allow the third user to join the private audio conversation.
26. A privacy apparatus comprising:
means for enabling a first user on a first client computer to interact in a metaverse virtual world with a second user;
means for recognizing a private conversation trigger; and
means for creating a virtual private space in the public place of the metaverse virtual world in response to the private conversation trigger, wherein the virtual private space facilitates a private audio conversation between the first user and the second user within the public place of the metaverse virtual world.
27. The privacy apparatus of claim 26, further comprising means for creating the virtual private space when an avatar of the first user aligns face-to-face with an avatar of the second user within a specified proximity in relation to one another.
28. The privacy apparatus of claim 26, further comprising means for displaying a private conversation border around the virtual private space, wherein the private conversation border approximately defines an area of the virtual private space.
29. The privacy apparatus of claim 26, further comprising means for visually fading a space outside of the virtual private space from the perspective of the first and second users.
30. The privacy apparatus of claim 26, further comprising means for displaying private conversation indicators relative to the first and second users of the private audio conversation, wherein the private conversation indicators indicate to users outside of the private audio conversation that the first and second users are participants of the private audio conversation.
31. The privacy apparatus of claim 26, further comprising:
means for maintaining a default sound characteristic of the metaverse virtual world for any sound that originates within the virtual private space from the perspective of the first and second users; and
means for substantially reducing any sound that originates outside of the virtual private space from the perspective of the first and second users.
32. The privacy apparatus of claim 26, further comprising means for sending an invitation from the first user to a third user to join the private audio conversation.
33. The privacy apparatus of claim 26, further comprising means for sending a request from a third user to the first user to allow the third user to join the private audio conversation.
34. The privacy apparatus of claim 26, further comprising:
means for displaying a privacy configuration interface, wherein the privacy configuration interface allows the first user to configure a privacy setting associated with the private audio conversation; and
means for storing the privacy setting.
35. A privacy method comprising:
enabling a first user to interact in a metaverse virtual world with a second user;
recognizing a private conversation trigger;
creating a virtual private space in the public place of the metaverse virtual world in response to the private conversation trigger, wherein the virtual private space facilitates a private audio conversation between the first user and the second user within the public place of the metaverse virtual world;
displaying a private conversation border around the virtual private space, wherein the private conversation border approximately defines an area of the virtual private space;
visually fading a space outside of the virtual private space from the perspective of the first and second users; and
displaying private conversation indicators relative to the first and second users of the private audio conversation, wherein the private conversation indicators indicate to users outside of the private audio conversation that the first and second users are participants of the private audio conversation;
initiating a first sound profile for any sound that originates within the virtual private space;
initiating a second sound profile for any sound that originates outside of the virtual private space, wherein the second sound profile defines a lower volume than the first sound profile.</t>
  </si>
  <si>
    <t>Clark, Jason T|Dewar, Ami H|Leah, Robert C|Poore, Nicholas E|Yim, Peter C</t>
  </si>
  <si>
    <t>G06N0003006000 | H04L0063104000 | H04L0067140000 | H04L0067131000 | H04L0067750000</t>
  </si>
  <si>
    <t>H04L01266000</t>
  </si>
  <si>
    <t>US20090303984A1</t>
  </si>
  <si>
    <t>US20090303984 A1</t>
  </si>
  <si>
    <t>I-000085098787</t>
  </si>
  <si>
    <t>https://patentscout.innography.com/share/Gw3d9kuS4t8dJ1ib-Y2YYg%3D%3D</t>
  </si>
  <si>
    <t>2008-06-03-ASSIGNMENT (INTERNATIONAL BUSINESS MACHINES CORPORATION)|2012-05-01-INFORMATION ON STATUS: APPLICATION DISCONTINUATION</t>
  </si>
  <si>
    <t>https://patentscout.innography.com/share/Gw3d9kuS4t8dJ1ib-Y2YYg%3D%3D/download</t>
  </si>
  <si>
    <t>https://ppubs.uspto.gov/pubwebapp/external.html?q=20090303984.pn.</t>
  </si>
  <si>
    <t>102 | US12/154719 | CTNF
102 | US12/154719 | CTFR</t>
  </si>
  <si>
    <t>103 | US08/509091 | CTNF
103 | US08/509091 | CTFR
103 | US09/430389 | CTNF
103 | US09/430389 | CTFR</t>
  </si>
  <si>
    <t>Avaya Inc
Avaya Inc</t>
  </si>
  <si>
    <t>Nippon Telegraph &amp; Telephone Corp.
Nippon Telegraph &amp; Telephone Corp.
Electronic Arts Inc.
Electronic Arts Inc.</t>
  </si>
  <si>
    <t>2011-10-19</t>
  </si>
  <si>
    <t>Kunzler Bean &amp; Adamson</t>
  </si>
  <si>
    <t>1. A computer program product comprising a computer useable storage medium to store a computer readable program that, when executed on a computer, causes the computer to perform operations comprising:
enable a first user on a first client computer to interact in a public place of a metaverse virtual world with a second user on a second client computer;
recognize a private conversation trigger; and
create a virtual private space in the public place of the metaverse virtual world in response to the private conversation trigger, wherein the virtual private space facilitates a private audio conversation between the first user and the second user within the public place of the metaverse virtual world.</t>
  </si>
  <si>
    <t>11. A system comprising:
a metaverse server coupled to a network, the metaverse server to execute a metaverse application, wherein the metaverse application comprises a metaverse virtual world and enables a first user to interact with a second user in a public place of the metaverse virtual world; and
a privacy engine coupled to the metaverse server, the privacy engine to recognize a private conversation trigger and to create a virtual private space in the public place of the metaverse virtual world in response to the private conversation trigger, wherein the virtual private space facilitates a private audio conversation between the first user and the second user within the public place of the metaverse virtual world.</t>
  </si>
  <si>
    <t>20. A method comprising:
enabling a first user on a first client computer to interact in a metaverse virtual world with a second user;
recognizing a private conversation trigger; and
creating a virtual private space in the public place of the metaverse virtual world in response to the private conversation trigger, wherein the virtual private space facilitates a private audio conversation between the first user and the second user within the public place of the metaverse virtual world.</t>
  </si>
  <si>
    <t>26. A privacy apparatus comprising:
means for enabling a first user on a first client computer to interact in a metaverse virtual world with a second user;
means for recognizing a private conversation trigger; and
means for creating a virtual private space in the public place of the metaverse virtual world in response to the private conversation trigger, wherein the virtual private space facilitates a private audio conversation between the first user and the second user within the public place of the metaverse virtual world.</t>
  </si>
  <si>
    <t>35. A privacy method comprising:
enabling a first user to interact in a metaverse virtual world with a second user;
recognizing a private conversation trigger;
creating a virtual private space in the public place of the metaverse virtual world in response to the private conversation trigger, wherein the virtual private space facilitates a private audio conversation between the first user and the second user within the public place of the metaverse virtual world;
displaying a private conversation border around the virtual private space, wherein the private conversation border approximately defines an area of the virtual private space;
visually fading a space outside of the virtual private space from the perspective of the first and second users; and
displaying private conversation indicators relative to the first and second users of the private audio conversation, wherein the private conversation indicators indicate to users outside of the private audio conversation that the first and second users are participants of the private audio conversation;
initiating a first sound profile for any sound that originates within the virtual private space;
initiating a second sound profile for any sound that originates outside of the virtual private space, wherein the second sound profile defines a lower volume than the first sound profile.</t>
  </si>
  <si>
    <t>2017-10-10</t>
  </si>
  <si>
    <t>2020-09-29</t>
  </si>
  <si>
    <t>2016-03-29</t>
  </si>
  <si>
    <t>2017-03-27</t>
  </si>
  <si>
    <t>2037-03-26</t>
  </si>
  <si>
    <t>2017-10-01</t>
  </si>
  <si>
    <t>A virtual reality device and a virtual reality method. The virtual reality method comprises the following steps: displaying a metaverse event from a perspective of a first metaverse position in a metaverse environment during a first period wherein a user metaverse avatar is located at the first metaverse position during the first period; recording the virtual reality event; and displaying the recorded virtual reality event again at the view angle of a second virtual reality position in the virtual reality environment in a second period. Therefore the user can see the virtual reality events which occur in the past again from different virtual reality position visual angles.</t>
  </si>
  <si>
    <t>Virtual reality device and virtual reality method</t>
  </si>
  <si>
    <t>virtual reality|reality|visual angle|avatar</t>
  </si>
  <si>
    <t>Htc Corporation</t>
  </si>
  <si>
    <t>HTC Corporation</t>
  </si>
  <si>
    <t>CN201710188227A</t>
  </si>
  <si>
    <t xml:space="preserve">A metaverse method, comprising:displaying a metaverse event from a perspective of a first metaverse position in a metaverse environment during a first period, wherein a first user metaverse avatar is located at the first metaverse position during the first period;recording the virtual reality event;generating a second user avatar in a second period after the first period, and displaying the recorded metaverse event again from the perspective of a second metaverse position in the metaverse environment, wherein the second user avatar is different from the first user avatar recorded in the metaverse event;changing at least one parameter of the first user avatar and an object in the recorded metaverse event in response to an action of the second user avatar during the second period; andin the second period, at least one parameter of the second user avatar is changed corresponding to an action of the first user avatar.
</t>
  </si>
  <si>
    <t>1. A metaverse method, comprising:displaying a metaverse event from a perspective of a first metaverse position in a metaverse environment during a first period, wherein a first user metaverse avatar is located at the first metaverse position during the first period;recording the virtual reality event;generating a second user avatar in a second period after the first period, and displaying the recorded metaverse event again from the perspective of a second metaverse position in the metaverse environment, wherein the second user avatar is different from the first user avatar recorded in the metaverse event;changing at least one parameter of the first user avatar and an object in the recorded metaverse event in response to an action of the second user avatar during the second period; andin the second period, at least one parameter of the second user avatar is changed corresponding to an action of the first user avatar.
2. The metaverse method of claim 1, wherein during the second period, the second user metaverse avatar is at the second metaverse position.
3. The metaverse method of claim 1, further comprising:recording one or more actions of a metaverse object in the metaverse event during the first period; anddisplaying the one or more actions of the metaverse object in the metaverse event recorded again at the perspective of the second metaverse position in the metaverse environment during the second period.
4. The metaverse method of claim 1, further comprising:in the second period, at least one parameter of a virtual reality object in the recorded virtual reality event is changed corresponding to an action of the second user virtual reality avatar.
5. The metaverse method of claim 1, further comprising:recording one or more actions of the first user avatar at the first metaverse location in the metaverse event during the first period; andduring the second period, the one or more actions of the first user avatar in the metaverse event are displayed again from the perspective of the second metaverse position in the metaverse environment.
6. The metaverse method of claim 1, further comprising:freezing the re-displayed metaverse event at a transient during the second period;detecting a move operation corresponding to a third metaverse location in the metaverse environment in the frozen transient metaverse event; anddisplaying the frozen instantaneous metaverse event from the perspective of the third metaverse location in the metaverse environment.
7. The metaverse method of claim 1, further comprising:capturing the virtual reality event displayed again at a moment in the second period to store the information of the instantaneous virtual reality event;retrieving stored information corresponding to the transient metaverse event;detecting a movement operation corresponding to a third virtual reality position in the virtual reality environment in the captured instant virtual reality event; anddisplaying the captured instant metaverse event from the perspective of the third metaverse position in the metaverse environment.
8. A metaverse device, comprising:a virtual reality display device;one or more processing elements electrically connected to the virtual reality display device;a memory electrically connected to the one or more processing elements; andone or more programs stored in the memory and configured to be executed by the one or more processing elements, the one or more programs including instructions for:controlling the virtual reality display device to display a virtual reality event at a first virtual reality position in a virtual reality environment in a first period, wherein a first user virtual reality avatar is located at the first virtual reality position in the first period;recording the virtual reality event;generating a second user avatar in a second period after the first period, controlling the metaverse display device to display the recorded metaverse event again from the perspective of a second metaverse position in the metaverse environment, wherein the second user avatar is different from the first user avatar recorded in the metaverse event;changing at least one parameter of the first user avatar and an object in the recorded metaverse event in response to an action of the second user avatar during the second period; andin the second period, at least one parameter of the second user avatar is changed corresponding to an action of the first user avatar.
9. A metaverse device, comprising:a virtual reality display device;one or more processing elements electrically connected to the virtual reality display device;a memory electrically connected to the one or more processing elements; andone or more programs stored in the memory and configured to be executed by the one or more processing elements, the one or more programs including instructions for:controlling the virtual reality display device to display a first instant virtual reality environment from a perspective of a first virtual reality location in the virtual reality environment, wherein at the first instant, a first user virtual reality avatar is located at the first virtual reality location;detecting a movement operation corresponding to a second virtual reality position in the virtual reality environment;controlling the metaverse display device to display the metaverse environment at a second instant at a perspective of a second metaverse location in the metaverse environment, wherein at the second instant, a second user metaverse avatar different from the first user metaverse avatar is generated to be located at the second metaverse location;changing at least one recorded parameter of the first user avatar and an object corresponding to an action of the second user avatar at the second moment; andat the second instant, at least one parameter of the second user avatar is changed corresponding to an action of the first user avatar.</t>
  </si>
  <si>
    <t>Chen, Yi-hsiu</t>
  </si>
  <si>
    <t>CN107239135 A</t>
  </si>
  <si>
    <t>G06F0003011000 | G06T0013400000 | G06F0003048400 | G06T0011600000 | G06T0015200000 | G06F0003048150</t>
  </si>
  <si>
    <t>G06F00301000 | G06F00304840</t>
  </si>
  <si>
    <t>US20170287195A1|CN107239135A|TW201734715A|US10311622B2|TWI670626B|CN107239135B</t>
  </si>
  <si>
    <t>US20170287195 A1 | CN107239135 A | TW201734715 A | US10311622 B2 | TWI670626 B | CN107239135 B</t>
  </si>
  <si>
    <t>I-000186201407</t>
  </si>
  <si>
    <t>20 years from 2017-03-26 (the day prior to the file date)</t>
  </si>
  <si>
    <t>https://patentscout.innography.com/share/1ORJj9fSiYLgmkNiQ8sMyQ%3D%3D</t>
  </si>
  <si>
    <t>2017-10-10-PUBLICATION|2017-11-07-ENTRY INTO FORCE OF REQUEST FOR SUBSTANTIVE EXAMINATION|2020-09-29-PATENT GRANT</t>
  </si>
  <si>
    <t>https://patentscout.innography.com/share/1ORJj9fSiYLgmkNiQ8sMyQ%3D%3D/download</t>
  </si>
  <si>
    <t>https://v3.espacenet.com/publicationDetails/biblio?CC=CN&amp;NR=107239135B&amp;KC=B&amp;FT=D&amp;date=20200929&amp;DB=EPODOC&amp;locale=</t>
  </si>
  <si>
    <t>US20170287195 A1</t>
  </si>
  <si>
    <t>徐金国 | Xu Jinguo</t>
  </si>
  <si>
    <t>1. A metaverse method, comprising:displaying a metaverse event from a perspective of a first metaverse position in a metaverse environment during a first period, wherein a first user metaverse avatar is located at the first metaverse position during the first period;recording the virtual reality event;generating a second user avatar in a second period after the first period, and displaying the recorded metaverse event again from the perspective of a second metaverse position in the metaverse environment, wherein the second user avatar is different from the first user avatar recorded in the metaverse event;changing at least one parameter of the first user avatar and an object in the recorded metaverse event in response to an action of the second user avatar during the second period; andin the second period, at least one parameter of the second user avatar is changed corresponding to an action of the first user avatar.</t>
  </si>
  <si>
    <t>8. A metaverse device, comprising:a virtual reality display device;one or more processing elements electrically connected to the virtual reality display device;a memory electrically connected to the one or more processing elements; andone or more programs stored in the memory and configured to be executed by the one or more processing elements, the one or more programs including instructions for:controlling the virtual reality display device to display a virtual reality event at a first virtual reality position in a virtual reality environment in a first period, wherein a first user virtual reality avatar is located at the first virtual reality position in the first period;recording the virtual reality event;generating a second user avatar in a second period after the first period, controlling the metaverse display device to display the recorded metaverse event again from the perspective of a second metaverse position in the metaverse environment, wherein the second user avatar is different from the first user avatar recorded in the metaverse event;changing at least one parameter of the first user avatar and an object in the recorded metaverse event in response to an action of the second user avatar during the second period; andin the second period, at least one parameter of the second user avatar is changed corresponding to an action of the first user avatar.</t>
  </si>
  <si>
    <t>9. A metaverse device, comprising:a virtual reality display device;one or more processing elements electrically connected to the virtual reality display device;a memory electrically connected to the one or more processing elements; andone or more programs stored in the memory and configured to be executed by the one or more processing elements, the one or more programs including instructions for:controlling the virtual reality display device to display a first instant virtual reality environment from a perspective of a first virtual reality location in the virtual reality environment, wherein at the first instant, a first user virtual reality avatar is located at the first virtual reality location;detecting a movement operation corresponding to a second virtual reality position in the virtual reality environment;controlling the metaverse display device to display the metaverse environment at a second instant at a perspective of a second metaverse location in the metaverse environment, wherein at the second instant, a second user metaverse avatar different from the first user metaverse avatar is generated to be located at the second metaverse location;changing at least one recorded parameter of the first user avatar and an object corresponding to an action of the second user avatar at the second moment; andat the second instant, at least one parameter of the second user avatar is changed corresponding to an action of the first user avatar.</t>
  </si>
  <si>
    <t>KR20220060955 A</t>
  </si>
  <si>
    <t>2015-11-23</t>
  </si>
  <si>
    <t>2018-01-18</t>
  </si>
  <si>
    <t>2014-05-12</t>
  </si>
  <si>
    <t>2034-05-12</t>
  </si>
  <si>
    <t>2015-11-12</t>
  </si>
  <si>
    <t>In accordance with another aspect of the present invention there is provided an experience-type ride reproduction apparatus and method for a multi-screen real-time media service which includes a content server for providing sensation media data and sensation data corresponding to the sensible media content A sensation device for providing a sensation effect to the user on the basis of the sensation data; a motion recognition section for recognizing the motion of the user to generate motion information; A motion processor for reflecting the motion of the user on the screen unit and a control unit for controlling the motion processor to reflect the motion of the user on the screen unit corresponding to the screen motion signal when the motion recognition unit receives the screen motion signal from the user A screen moving section for requesting a screen and a plurality of motions And a metaverse server for providing the metaverse contents corresponding to the plurality of users and the metaverse effect data corresponding to the metaverse contents can do.</t>
  </si>
  <si>
    <t>Experience ride representation apparatus and its method for real-sense media service based on multi-vision</t>
  </si>
  <si>
    <t>media content|screen unit|sensible</t>
  </si>
  <si>
    <t>KR20140056698A</t>
  </si>
  <si>
    <t>And a second signal is transmitted to the user on the basis of the sensible media content reproduced on the screen part, in order to reflect the motion of the user in a plurality of screen parts according to a first signal received from the user, An experience-type ride reproduction device for a service,  A content server for providing actual feeling data corresponding to the sensible media content and the sensible media content;  A metaverse server for providing metaverse contents shared by the plurality of users and metaverse effect data corresponding to the metaverse contents when motion of a plurality of users is reflected on the screen; And  The method of claim 1, further comprising the steps of: receiving a user's motion in a screen corresponding to a user's screen motion signal included in the first signal; And a screen connection unit for connecting the sensible media contents reproduced in the screen unit,  Wherein the plurality of screens comprises:  At least one personal screen unit for receiving sensible media content and sensation data from the content server and providing the sensible media content and sensation data to an individual user; And  And at least one shared screen unit for receiving metaverse content and metaverse effect data from the metaverse server and providing the received metaverse content to a plurality of users.
The method according to claim 1,  A sensation device that provides a sensation effect to a user based on the sensation data;  A motion recognition unit for recognizing the motion of the user and generating motion information;  A motion processor for reflecting the motion of the user on the screen based on the motion information; And  And a screen movement unit for requesting the motion processing unit to reflect the motion of the user on a screen unit corresponding to the screen motion signal when the motion recognition unit receives the screen motion signal from the user.
The method according to claim 1,  The content server comprises:  And a content rate adjusting unit for adjusting a playback speed of the sensible media content to be played on the screen unit according to the motion information of the user.
The method according to claim 1,  The content server comprises:  And a content transmitting unit for transmitting the sensible media content and the sensation data to the screen unit through a communication network.
The method according to claim 1,  The screen  And the movement of the user is reflected by at least one selected from among an avatar and a character.
The method of claim 2,  The motion information that the motion recognition unit recognizes from the motion of the user  Pitch motion information that goes up or down based on a direction in which the user proceeds,  Yaw motion information related to the motion rotating leftward or rightward in the direction in which the user proceeds,  And roll motion information tilted to the left or right based on a direction in which the user proceeds.
delete
The method according to claim 1,  A terrain information providing unit for obtaining the terrain information from any one of the sensible media contents and the metaverse contents and requesting the motion processing unit to reflect the real effect corresponding to the terrain information on the screen unit, Experience Ride Reproduction Device for Realistic Media Service.
The method of claim 8,  The terrain information providing unit,  And requests the real-time sensing device to transmit a physical stimulus to the user through the real-time sensing device based on the topographic information.
And a second signal is transmitted to the user on the basis of the sensible media content reproduced on the screen unit, in accordance with the first signal received from the user, so as to move the motion of the user in a plurality of screen parts, 1. A method of recreating an experiential ride for a media service,  Providing a real-time media content and a real-time effect data corresponding to the real-life media content to a screen unit;  Providing the metaverse server with metaverse content shared by the plurality of users and metaverse effect data corresponding to the metaverse content when motion of a plurality of users is reflected on the screen unit;  The method of claim 1, further comprising the steps of: receiving a user's motion in a screen corresponding to a user's screen motion signal included in the first signal; Connecting real-life media contents to be played back on a screen portion that is played back;  Wherein the plurality of screens comprises:  At least one personal screen unit for receiving sensible media content and sensation data from the content server and providing the sensible media content and sensation data to an individual user; And  And at least one shared screen unit for receiving metaverse contents and metaverse effect data from the metaverse server and providing the metaverse contents to a plurality of users.
The method of claim 10,  Reproducing the sensible media contents by the screen unit;  The real-feeling device providing the real-time effect to the user based on the real-time effect data;  The motion recognition unit recognizing the motion of the user and generating motion information;  Reflecting the motion of the user on the screen based on the motion information; And  Further comprising the step of: when the motion recognition unit receives the screen motion signal from the user, the screen motion unit requests the motion processing unit to reflect the motion of the user on the screen unit corresponding to the screen motion signal. Way.
The method of claim 10,  Further comprising the step of controlling the playback speed of the sensible media content to be played back on the screen unit in accordance with the motion information of the user.
The method of claim 10,  Wherein the content transmitting unit transmits the sensible media content and the sensation data to the screen unit through a communication network.
The method of claim 11,  The terrain information providing unit acquiring the terrain information from any one of the sensed media contents and the metaverse contents and requesting the motion processing unit to reflect the sensation effect corresponding to the terrain information on the screen unit; And  Further comprising the step of requesting the real-time sensing device to transmit a physical stimulus to the user through the real-life sensing device based on the topographic information. 
delete</t>
  </si>
  <si>
    <t>Park, Sang-wook|Jang, Jong-hyun</t>
  </si>
  <si>
    <t>KR20150129957 A</t>
  </si>
  <si>
    <t>A63G0031160000</t>
  </si>
  <si>
    <t>A63G0031160000 | A63F0009143000 | G06F0003011000 | G06F0003048150 | G06V0040230000</t>
  </si>
  <si>
    <t>G06Q05010000 | H04N00522200 | H04N00526200</t>
  </si>
  <si>
    <t>US20150321107A1|KR20150129957A|US9480928B2|KR101808598B1</t>
  </si>
  <si>
    <t>$16515</t>
  </si>
  <si>
    <t>US20150321107 A1 | KR20150129957 A | US9480928 B2 | KR101808598 B1</t>
  </si>
  <si>
    <t>I-000139622131</t>
  </si>
  <si>
    <t>20 years from 2014-05-12 (file date)</t>
  </si>
  <si>
    <t>https://patentscout.innography.com/share/xW327k17Z8c3886IE7kGYg%3D%3D</t>
  </si>
  <si>
    <t>2017-08-30-REQUEST FOR ACCELERATED EXAMINATION|2017-11-30-DECISION TO GRANT OR REGISTRATION OF PATENT RIGHT|2017-12-07-WRITTEN DECISION TO GRANT</t>
  </si>
  <si>
    <t>https://patentscout.innography.com/share/xW327k17Z8c3886IE7kGYg%3D%3D/download</t>
  </si>
  <si>
    <t>https://v3.espacenet.com/publicationDetails/biblio?CC=KR&amp;NR=101808598B1&amp;KC=B1&amp;FT=D&amp;date=20180118&amp;DB=EPODOC&amp;locale=</t>
  </si>
  <si>
    <t>EZ International Patent &amp; Trademark Law Office</t>
  </si>
  <si>
    <t>특허법인이상</t>
  </si>
  <si>
    <t>7. delete</t>
  </si>
  <si>
    <t>15. delete</t>
  </si>
  <si>
    <t>KR101326944 B1 | US4856771 A | US5004225 A | US5961195 A | US6142870 A | US6716106 B2 | US6902488 B2 | US20090075741 A1 | US20110014985 A1 | KR20100008774 U | KR20110007419 U | KR20120114770 A | KR20120132283 A</t>
  </si>
  <si>
    <t>2016-11-01</t>
  </si>
  <si>
    <t>2015-05-12</t>
  </si>
  <si>
    <t>2020-12-07</t>
  </si>
  <si>
    <t>Disclosed herein are an experience ride representation apparatus and method for a real-sense media service based on a multi-vision. An experience ride representation apparatus for a real-sense media service based on a multi-vision in which a motion of a user is reflected so as to move in a plurality of screen units depending on a first signal received from the user a second signal is transmitted to the user based on real-sense media contents reproduced on the screen unit and metaverse contents are provided to a plurality of users when the screen unit is shared by the plurality of users.</t>
  </si>
  <si>
    <t>Experience ride representation apparatus and method for real-sense media service based on multi-vision</t>
  </si>
  <si>
    <t>real sense|screen unit|media content</t>
  </si>
  <si>
    <t>Electronics And Telecommunications Research Instit</t>
  </si>
  <si>
    <t>US14/710024</t>
  </si>
  <si>
    <t>KIEN T NGUYEN</t>
  </si>
  <si>
    <t>3711: Amusement and Education Devices</t>
  </si>
  <si>
    <t xml:space="preserve">An experience ride representation apparatus for a real-sense media service based on a multi-vision comprising a plurality of screen units for one or more users,
wherein one of the plurality of screen units reflects a motion of a user in response to a first signal of the user,
wherein a second signal is transmitted to the user based on real-sense media contents reproduced on the screen unit, and
wherein metaverse contents are provided to the screen unit, and the real-sense media contents are provided to a remaining screen unit when the screen unit is shared by a plurality of users.
</t>
  </si>
  <si>
    <t>1. An experience ride representation apparatus for a real-sense media service based on a multi-vision comprising a plurality of screen units for one or more users,
wherein one of the plurality of screen units reflects a motion of a user in response to a first signal of the user,
wherein a second signal is transmitted to the user based on real-sense media contents reproduced on the screen unit, and
wherein metaverse contents are provided to the screen unit, and the real-sense media contents are provided to a remaining screen unit when the screen unit is shared by a plurality of users.
2. An experience ride representation apparatus for a real-sense media service based on a multi-vision, comprising:
a content server providing real-sense media contents and real-sense effect data corresponding to the real-sense media contents;
a plurality of screen units reproducing the real-sense media contents;
a real-sense device providing a real-sense effect to a user based on the real-sense effect data;
a motion recognizing unit recognizing a motion of the user to generate motion information;
a motion processing unit reflecting the motion of the user in the screen unit based on the motion information;
a screen moving unit requesting the motion processing unit to reflect the motion of the user in the screen unit corresponding to a screen moving signal when the motion recognizing unit receives the screen moving signal from the user; and
a metaverse server providing metaverse contents shared by a plurality of users and metaverse real-sense effect data corresponding to the metaverse contents in the case in which motions of the plurality of users are reflected in the screen unit,
wherein metaverse contents are provided to the screen unit, and the real-sense media contents are provided to a remaining screen unit when motions of a plurality of users are reflected in the screen unit.
3. The experience ride representation apparatus for a real-sense media service based on a multi-vision of claim 2, wherein the content server includes a content speed controlling unit controlling a reproduction speed of the real-sense media contents reproduced on the screen unit depending on the motion information of the user.
4. The experience ride representation apparatus for a real-sense media service based on a multi-vision of claim 2, wherein the content server includes a content transmitting unit transmitting the real-sense media contents and the real-sense effect data to the screen unit through a communication network.
5. The experience ride representation apparatus for a real-sense media service based on a multi-vision of claim 2, wherein the screen unit reflects the motion of the user as any one or more of an avatar and a character.
6. The experience ride representation apparatus for a real-sense media service based on a multi-vision of claim 2, wherein the motion information recognized by the motion recognizing unit from the motion of the user includes:
pitch motion information on a motion ascending or descending based on a direction in which the user advances;
yaw motion information on a motion rotating to the left or the right based on the direction in which the user advances; and
roll motion information on a motion inclined to the left or the right based on the direction in which the user advances.
7. The experience ride representation apparatus for a real-sense media service based on a multi-vision of claim 2, further comprising a screen connecting unit connecting real-sense media contents reproduced on the screen unit before the screen moving signal is received and real-sense media contents reproduced on the screen unit corresponding to the screen moving signal to each other, when the screen moving unit reflects the motion of the user in the screen unit corresponding to the screen moving signal.
8. The experience ride representation apparatus for a real-sense media service based on a multi-vision of claim 2, further comprising a topographic information providing unit obtaining topographic information from any one of the real-sense media contents and the metaverse contents and requesting the motion processing unit to reflect a real-sense effect corresponding to the topographic information in the screen unit.
9. The experience ride representation apparatus for a real-sense media service based on a multi-vision of claim 8, wherein the topographic information providing unit requests the real-sense device to transfer a physical stimulus to the user through the real-sense device based on the topographic information.
10. An experience ride representation method for a real-sense media service based on a multi-vision, comprising:
receiving a first signal from a user;
reflecting a motion of the user in one of a plurality of screen units in response to the first signal;
transmitting a second signal to the user based on real-sense media contents reproduced on the screen unit; and
providing metaverse contents to the screen unit, and the real-sense media contents to a remaining screen unit when the screen unit is shared by a plurality of users.
11. An experience ride representation method for a real-sense media service based on a multi-vision, comprising:
providing, by a content server, real-sense media contents and real-sense effect data corresponding to the real-sense media contents to a screen unit;
reproducing, by the screen unit, the real-sense media contents;
providing, by a real-sense device, a real-sense effect to a user based on the real-sense effect data;
recognizing, by a motion recognizing unit, a motion of the user to generate motion information;
reflecting, by a motion processing unit, the motion of the user in the screen unit based on the motion information;
requesting, by a screen moving unit, the motion processing unit to reflect the motion of the user in the screen unit corresponding to a screen moving signal when the motion recognizing unit receives the screen moving signal from the user; and
providing, by a metaverse server, metaverse contents shared by a plurality of users and metaverse real-sense effect data corresponding to the metaverse contents in the case in which motions of the plurality of users are reflected in the screen unit,
wherein metaverse contents are provided to the screen unit, and the real-sense media contents are provided to a remaining screen unit when motions of a plurality of users are reflected in the screen unit.
12. The experience ride representation method for a real-sense media service based on a multi-vision of claim 11, further comprising controlling, by a content speed controlling unit, a reproduction speed of the real-sense media contents reproduced on the screen unit depending on the motion information of the user.
13. The experience ride representation method for a real-sense media service based on a multi-vision of claim 11, further comprising transmitting, by a content transmitting unit, the real-sense media contents and the real-sense effect data to the screen unit through a communication network.
14. The experience ride representation method for a real-sense media service based on a multi-vision of claim 11, further comprising connecting, by a screen connecting unit, real-sense media contents reproduced on the screen unit before the screen moving signal is received and real-sense media contents reproduced on the screen unit corresponding to the screen moving signal to each other, when the screen moving unit reflects the motion of the user in the screen unit corresponding to the screen moving signal.
15. The experience ride representation method for a real-sense media service based on a multi-vision of claim 11, further comprising:
obtaining, by a topographic information providing unit, topographic information from any one of the real-sense media contents and the metaverse contents and requesting the motion processing unit to reflect a real-sense effect corresponding to the topographic information in the screen unit; and
requesting, by the topographic information providing unit, the real-sense device to transfer a physical stimulus to the user through the real-sense device based on the topographic information.</t>
  </si>
  <si>
    <t>US20150321107 A1</t>
  </si>
  <si>
    <t>A63G03116000</t>
  </si>
  <si>
    <t>A63G03116000 | A63F00914000 | A63F01300000 | G06K00900000</t>
  </si>
  <si>
    <t>$14862</t>
  </si>
  <si>
    <t>I-000138368323</t>
  </si>
  <si>
    <t>https://patentscout.innography.com/share/KJZWmiReT-1WLktLzMQWXw%3D%3D</t>
  </si>
  <si>
    <t>2015-05-04-ASSIGNMENT (ELECTRONICS AND TELECOMMUNICATIONS RESEARCH INSTITUTE)|2016-10-12-INFORMATION ON STATUS: PATENT GRANT|2020-06-22-FEE PAYMENT PROCEDURE|2020-12-07-LAPSE FOR FAILURE TO PAY MAINTENANCE FEES|2020-12-07-INFORMATION ON STATUS: PATENT DISCONTINUATION|2020-12-29-EXPIRED DUE TO FAILURE TO PAY MAINTENANCE FEE</t>
  </si>
  <si>
    <t>https://patentscout.innography.com/share/KJZWmiReT-1WLktLzMQWXw%3D%3D/download</t>
  </si>
  <si>
    <t>https://ppubs.uspto.gov/pubwebapp/external.html?q=9480928.pn.</t>
  </si>
  <si>
    <t>103 | US07/111070 | CTNF
103 | US07/431733 | CTNF
103 | US12/832607 | CTNF</t>
  </si>
  <si>
    <t>Nelson, Berg Enterprises, 303-33695 South Fraser W
Krukovsky, Yuri
Electronics And Telecommunications Research Institute</t>
  </si>
  <si>
    <t>William Park &amp; Associates</t>
  </si>
  <si>
    <t>1. An experience ride representation apparatus for a real-sense media service based on a multi-vision comprising a plurality of screen units for one or more users,
wherein one of the plurality of screen units reflects a motion of a user in response to a first signal of the user,
wherein a second signal is transmitted to the user based on real-sense media contents reproduced on the screen unit, and
wherein metaverse contents are provided to the screen unit, and the real-sense media contents are provided to a remaining screen unit when the screen unit is shared by a plurality of users.</t>
  </si>
  <si>
    <t>2. An experience ride representation apparatus for a real-sense media service based on a multi-vision, comprising:
a content server providing real-sense media contents and real-sense effect data corresponding to the real-sense media contents;
a plurality of screen units reproducing the real-sense media contents;
a real-sense device providing a real-sense effect to a user based on the real-sense effect data;
a motion recognizing unit recognizing a motion of the user to generate motion information;
a motion processing unit reflecting the motion of the user in the screen unit based on the motion information;
a screen moving unit requesting the motion processing unit to reflect the motion of the user in the screen unit corresponding to a screen moving signal when the motion recognizing unit receives the screen moving signal from the user; and
a metaverse server providing metaverse contents shared by a plurality of users and metaverse real-sense effect data corresponding to the metaverse contents in the case in which motions of the plurality of users are reflected in the screen unit,
wherein metaverse contents are provided to the screen unit, and the real-sense media contents are provided to a remaining screen unit when motions of a plurality of users are reflected in the screen unit.</t>
  </si>
  <si>
    <t>10. An experience ride representation method for a real-sense media service based on a multi-vision, comprising:
receiving a first signal from a user;
reflecting a motion of the user in one of a plurality of screen units in response to the first signal;
transmitting a second signal to the user based on real-sense media contents reproduced on the screen unit; and
providing metaverse contents to the screen unit, and the real-sense media contents to a remaining screen unit when the screen unit is shared by a plurality of users.</t>
  </si>
  <si>
    <t>11. An experience ride representation method for a real-sense media service based on a multi-vision, comprising:
providing, by a content server, real-sense media contents and real-sense effect data corresponding to the real-sense media contents to a screen unit;
reproducing, by the screen unit, the real-sense media contents;
providing, by a real-sense device, a real-sense effect to a user based on the real-sense effect data;
recognizing, by a motion recognizing unit, a motion of the user to generate motion information;
reflecting, by a motion processing unit, the motion of the user in the screen unit based on the motion information;
requesting, by a screen moving unit, the motion processing unit to reflect the motion of the user in the screen unit corresponding to a screen moving signal when the motion recognizing unit receives the screen moving signal from the user; and
providing, by a metaverse server, metaverse contents shared by a plurality of users and metaverse real-sense effect data corresponding to the metaverse contents in the case in which motions of the plurality of users are reflected in the screen unit,
wherein metaverse contents are provided to the screen unit, and the real-sense media contents are provided to a remaining screen unit when motions of a plurality of users are reflected in the screen unit.</t>
  </si>
  <si>
    <t>US8010887 B2 | US7752232 B2 | US7251645 B1 | JPH1083326 A</t>
  </si>
  <si>
    <t>1993-10-15</t>
  </si>
  <si>
    <t>1992-03-16</t>
  </si>
  <si>
    <t>2008-10-15</t>
  </si>
  <si>
    <t>(57) [Abstract] [Purpose] An object-oriented database system and a version management method with little memory wastage and reduction in user-defined procedure execution efficiency [Configuration] An attribute that stores a pointer to a metaversion is used as an instance variable An aggregate object that retains the versioned object class that holds the method for writing and reading the value of as a library and allows the class of the compilation request user to inherit the definition of the versioned object class and that has multiple versions of the object as elements Method for storing the pointer to the attribute storing the pointer to the representative version that represents the elements of the aggregate object and storing the pointer to the generic instance as instance variables and writing the value to the attribute and reading the value Holding meta barge Class  A version manager class that holds the object versioning means as a method and a library are held as a library.</t>
  </si>
  <si>
    <t>Object-orientation data base system and version managing method</t>
  </si>
  <si>
    <t>typical|oriented database|object-oriented database</t>
  </si>
  <si>
    <t>JP9024692A</t>
  </si>
  <si>
    <t xml:space="preserve">An object-oriented database system for holding a plurality of versions of an object, wherein an attribute for storing a pointer to a meta version holding version management information of the object is added to the object in the object-oriented database. Means, means for writing a value to the attribute, means for reading the value of the attribute, and for the metaversion, an attribute for storing a pointer to only one representative version representing a plurality of versions of the object is added. Means for writing a value to the attribute, a means for reading the value of the attribute, and a given set of objects and metaversion  An object that is the first version of the object is generated by copying the given object, a tag indicating that the object is a generic instance is added to the copy source object, and the object and the object For the first version, an object versioning means for writing a value indicating the pointer to the given meta version into an attribute for storing a pointer to each meta version, and a pointer to the meta version added to the object are stored. Based on the value of the attribute to be stored, the value of the attribute that stores a pointer to the representative version of the object held by the meta version, and the presence or absence of a tag indicating that the object is a generic instance. An object-oriented database system comprising: means for processing sage.
</t>
  </si>
  <si>
    <t>1. An object-oriented database system for holding a plurality of versions of an object, wherein an attribute for storing a pointer to a meta version holding version management information of the object is added to the object in the object-oriented database. Means, means for writing a value to the attribute, means for reading the value of the attribute, and for the metaversion, an attribute for storing a pointer to only one representative version representing a plurality of versions of the object is added. Means for writing a value to the attribute, a means for reading the value of the attribute, and a given set of objects and metaversion  An object that is the first version of the object is generated by copying the given object, a tag indicating that the object is a generic instance is added to the copy source object, and the object and the object For the first version, an object versioning means for writing a value indicating the pointer to the given meta version into an attribute for storing a pointer to each meta version, and a pointer to the meta version added to the object are stored. Based on the value of the attribute to be stored, the value of the attribute that stores a pointer to the representative version of the object held by the meta version, and the presence or absence of a tag indicating that the object is a generic instance. An object-oriented database system comprising: means for processing sage.
2. The object-oriented database system according to claim 1, wherein an attribute that stores a pointer to the metaversion is an instance variable, and means for writing a value to the attribute and means for reading the value of the attribute are held as methods. An object-oriented database system characterized in that a versioned object class to be retained is held as a library, and the definition of the versioned object class is inherited by a class of a user who requests compilation.
3. The object-oriented database system according to claim 1, wherein an attribute that stores a pointer to an aggregate object that has a plurality of versions of the object as elements, and a plurality of versions that are elements of the aggregate object are represented. A metaversion class that has an attribute that stores a pointer to only one representative version and an attribute that stores a pointer to the generic instance as instance variables, and has means for writing a value to each attribute and means for reading a value as a method The object-oriented database system according to claim 1, characterized in that
4. The object-oriented database system according to claim 1, wherein a version manager class that holds the versioning means of the object as a method is held as a library.
5. The object-oriented database system according to claim 1, wherein an attribute that stores a pointer to the metaversion is an instance variable, and means for writing a value to the attribute and means for reading the value of the attribute are held as methods. The versioned object class to be stored is held as a library, the definition of the versioned object class is inherited by the class of the user who requests compilation, and a pointer to an aggregate object having multiple versions of the object is stored. An attribute and an attribute that stores a pointer to only one representative version representing a plurality of versions that are elements of the aggregate object,  An attribute that stores a pointer to the generic instance is used as an instance variable, and a metaversion class that holds a means for writing a value to each attribute and a means for reading a value as a method is held as a library, and the versioning means for the object is used as a method. An object-oriented database system characterized by holding a version manager class held as a library.
6. A version management method in an object-oriented database system, wherein an object in the object-oriented database has an attribute for storing a pointer to a meta version holding version management information of the object, The version has an attribute that stores a pointer to a collective object that has the version of the object as an element and an attribute that stores a pointer to a representative version that represents the element of the collective object. If so, an attribute for storing the pointer to the metaversion of the object generated by the request is set to indicate that the metaversion does not exist, and if there is a request for versioning the object, ,  Generate a meta version for the object, copy the object to generate the first version of the object, add a tag to the object indicating that it is a generic instance, and add the meta version of the object and the version In the attribute for storing the pointer of, the value indicating the pointer to the meta version generated for the object is set,  For the meta version, an aggregate object having the version as an element is generated, and a value indicating a pointer to the aggregate object and a value indicating a pointer to the version are respectively assigned to the aggregate object having the version as an element. If you want to add a new version to the object by setting the attribute that stores the pointer and the attribute that stores the pointer to the representative version that represents the elements of the aggregate object,  When the version is added as an element to the aggregate object set in the meta version of the object and the representative version of the object is changed, a pointer to the representative version set in the meta version of the object, When rewriting the pointer to the new representative version and processing the message, it is determined whether or not there is a tag indicating that the object is a generic instance for the object specified in the receiver of the message, If the object is not a generic instance, the message is processed by using the object as a receiver, and if the object is a generic instance, a meta version of the object is obtained. Give ® down, versioning method characterized by processing the message to the representative version as a receiver.</t>
  </si>
  <si>
    <t>G06F0012000000</t>
  </si>
  <si>
    <t>G06F01200000</t>
  </si>
  <si>
    <t>G06F01200000 | G06F00944000</t>
  </si>
  <si>
    <t>JPH05265838A</t>
  </si>
  <si>
    <t>JPH05265838 A</t>
  </si>
  <si>
    <t>I-000053668776</t>
  </si>
  <si>
    <t>15 years from 1993-10-15 (publish date)</t>
  </si>
  <si>
    <t>https://patentscout.innography.com/share/tJvtQJ4LlS9_DXrGW2Wfbg%3D%3D</t>
  </si>
  <si>
    <t>https://patentscout.innography.com/share/tJvtQJ4LlS9_DXrGW2Wfbg%3D%3D/download</t>
  </si>
  <si>
    <t>https://v3.espacenet.com/publicationDetails/biblio?CC=JP&amp;NR=H05265838A&amp;KC=A&amp;FT=D&amp;date=19931015&amp;DB=EPODOC&amp;locale=</t>
  </si>
  <si>
    <t>笹岡  茂  （外１名）</t>
  </si>
  <si>
    <t>1. An object-oriented database system for holding a plurality of versions of an object, wherein an attribute for storing a pointer to a meta version holding version management information of the object is added to the object in the object-oriented database. Means, means for writing a value to the attribute, means for reading the value of the attribute, and for the metaversion, an attribute for storing a pointer to only one representative version representing a plurality of versions of the object is added. Means for writing a value to the attribute, a means for reading the value of the attribute, and a given set of objects and metaversion  An object that is the first version of the object is generated by copying the given object, a tag indicating that the object is a generic instance is added to the copy source object, and the object and the object For the first version, an object versioning means for writing a value indicating the pointer to the given meta version into an attribute for storing a pointer to each meta version, and a pointer to the meta version added to the object are stored. Based on the value of the attribute to be stored, the value of the attribute that stores a pointer to the representative version of the object held by the meta version, and the presence or absence of a tag indicating that the object is a generic instance. An object-oriented database system comprising: means for processing sage.</t>
  </si>
  <si>
    <t>6. A version management method in an object-oriented database system, wherein an object in the object-oriented database has an attribute for storing a pointer to a meta version holding version management information of the object, The version has an attribute that stores a pointer to a collective object that has the version of the object as an element and an attribute that stores a pointer to a representative version that represents the element of the collective object. If so, an attribute for storing the pointer to the metaversion of the object generated by the request is set to indicate that the metaversion does not exist, and if there is a request for versioning the object, ,  Generate a meta version for the object, copy the object to generate the first version of the object, add a tag to the object indicating that it is a generic instance, and add the meta version of the object and the version In the attribute for storing the pointer of, the value indicating the pointer to the meta version generated for the object is set,  For the meta version, an aggregate object having the version as an element is generated, and a value indicating a pointer to the aggregate object and a value indicating a pointer to the version are respectively assigned to the aggregate object having the version as an element. If you want to add a new version to the object by setting the attribute that stores the pointer and the attribute that stores the pointer to the representative version that represents the elements of the aggregate object,  When the version is added as an element to the aggregate object set in the meta version of the object and the representative version of the object is changed, a pointer to the representative version set in the meta version of the object, When rewriting the pointer to the new representative version and processing the message, it is determined whether or not there is a tag indicating that the object is a generic instance for the object specified in the receiver of the message, If the object is not a generic instance, the message is processed by using the object as a receiver, and if the object is a generic instance, a meta version of the object is obtained. Give ® down, versioning method characterized by processing the message to the representative version as a receiver.</t>
  </si>
  <si>
    <t>US4856771 A | US5004225 A | US5961195 A | US6142870 A | US6716106 B2 | US6902488 B2 | US20090075741 A1</t>
  </si>
  <si>
    <t xml:space="preserve">An experience ride representation apparatus for a real-sense media service based on a multi-vision in which a motion of a user is reflected so as to move in a plurality of screen units depending on a first signal received from the user, a second signal is transmitted to the user based on real-sense media contents reproduced on the screen unit, and metaverse contents are provided to a plurality of users when the screen unit is shared by the plurality of users.
</t>
  </si>
  <si>
    <t>1. An experience ride representation apparatus for a real-sense media service based on a multi-vision in which a motion of a user is reflected so as to move in a plurality of screen units depending on a first signal received from the user, a second signal is transmitted to the user based on real-sense media contents reproduced on the screen unit, and metaverse contents are provided to a plurality of users when the screen unit is shared by the plurality of users.
2. An experience ride representation apparatus for a real-sense media service based on a multi-vision, comprising:
a content server providing real-sense media contents and real-sense effect data corresponding to the real-sense media contents;
a plurality of screen units reproducing the real-sense media contents;
a real-sense device providing a real-sense effect to a user based on the real-sense effect data;
a motion recognizing unit recognizing a motion of the user to generate motion information;
a motion processing unit reflecting the motion of the user in the screen unit based on the motion information;
a screen moving unit requesting the motion processing unit to reflect the motion of the user in the screen unit corresponding to a screen moving signal when the motion recognizing unit receives the screen moving signal from the user; and
a metaverse server providing metaverse contents shared by a plurality of users and metaverse real-sense effect data corresponding to the metaverse contents in the case in which motions of the plurality of users are reflected in the screen unit.
3. The experience ride representation apparatus for a real-sense media service based on a multi-vision of claim 2, wherein the content server includes a content speed controlling unit controlling a reproduction speed of the real-sense media contents reproduced on the screen unit depending on the motion information of the user.
4. The experience ride representation apparatus for a real-sense media service based on a multi-vision of claim 2, wherein the content server includes a content transmitting unit transmitting the real-sense media contents and the real-sense effect data to the screen unit through a communication network.
5. The experience ride representation apparatus for a real-sense media service based on a multi-vision of claim 2, wherein the screen unit reflects the motion of the user as any one or more of an avatar and a character.
6. The experience ride representation apparatus for a real-sense media service based on a multi-vision of claim 2, wherein the motion information recognized by the motion recognizing unit from the motion of the user includes:
pitch motion information on a motion ascending or descending based on a direction in which the user advances;
yaw motion information on a motion rotating to the left or the right based on the direction in which the user advances; and
roll motion information on a motion inclined to the left or the right based on the direction in which the user advances.
7. The experience ride representation apparatus for a real-sense media service based on a multi-vision of claim 2, further comprising a screen connecting unit connecting real-sense media contents reproduced on the screen unit before the screen moving signal is received and real-sense media contents reproduced on the screen unit corresponding to the screen moving signal to each other, when the screen moving unit reflects the motion of the user in the screen unit corresponding to the screen moving signal.
8. The experience ride representation apparatus for a real-sense media service based on a multi-vision of claim 2, further comprising a topographic information providing unit obtaining topographic information from any one of the real-sense media contents and the metaverse contents and requesting the motion processing unit to reflect a real-sense effect corresponding to the topographic information in the screen unit.
9. The experience ride representation apparatus for a real-sense media service based on a multi-vision of claim 8, wherein the topographic information providing unit requests the real-sense device to transfer a physical stimulus to the user through the real-sense device based on the topographic information.
10. An experience ride representation method for a real-sense media service based on a multi-vision, comprising:
receiving a first signal from a user;
reflecting a motion of the user so as to move in a plurality of screen units depending on the first signal;
transmitting a second signal to the user based on real-sense media contents reproduced on the screen unit; and
providing metaverse contents to a plurality of users when the screen unit is shared by the plurality of users.
11. An experience ride representation method for a real-sense media service based on a multi-vision, comprising:
providing, by a content server, real-sense media contents and real-sense effect data corresponding to the real-sense media contents to a screen unit;
reproducing, by the screen unit, the real-sense media contents;
providing, by a real-sense device, a real-sense effect to a user based on the real-sense effect data;
recognizing, by a motion recognizing unit, a motion of the user to generate motion information;
reflecting, by a motion processing unit, the motion of the user in the screen unit based on the motion information;
requesting, by a screen moving unit, the motion processing unit to reflect the motion of the user in the screen unit corresponding to a screen moving signal when the motion recognizing unit receives the screen moving signal from the user; and
providing, by a metaverse server, metaverse contents shared by a plurality of users and metaverse real-sense effect data corresponding to the metaverse contents in the case in which motions of the plurality of users are reflected in the screen unit.
12. The experience ride representation method for a real-sense media service based on a multi-vision of claim 11, further comprising controlling, by a content speed controlling unit, a reproduction speed of the real-sense media contents reproduced on the screen unit depending on the motion information of the user.
13. The experience ride representation method for a real-sense media service based on a multi-vision of claim 11, further comprising transmitting, by a content transmitting unit, the real-sense media contents and the real-sense effect data to the screen unit through a communication network.
14. The experience ride representation method for a real-sense media service based on a multi-vision of claim 11, further comprising connecting, by a screen connecting unit, real-sense media contents reproduced on the screen unit before the screen moving signal is received and real-sense media contents reproduced on the screen unit corresponding to the screen moving signal to each other, when the screen moving unit reflects the motion of the user in the screen unit corresponding to the screen moving signal.
15. The experience ride representation method for a real-sense media service based on a multi-vision of claim 11, further comprising:
obtaining, by a topographic information providing unit, topographic information from any one of the real-sense media contents and the metaverse contents and requesting the motion processing unit to reflect a real-sense effect corresponding to the topographic information in the screen unit; and
requesting, by the topographic information providing unit, the real-sense device to transfer a physical stimulus to the user through the real-sense device based on the topographic information.</t>
  </si>
  <si>
    <t>US9480928 B2</t>
  </si>
  <si>
    <t>A63G03116000 | A63F00914000</t>
  </si>
  <si>
    <t>Application expired due to grant (US9480928 B2)</t>
  </si>
  <si>
    <t>https://patentscout.innography.com/share/LE4FqsQSGgPryScQrrxaew%3D%3D</t>
  </si>
  <si>
    <t>https://patentscout.innography.com/share/LE4FqsQSGgPryScQrrxaew%3D%3D/download</t>
  </si>
  <si>
    <t>https://ppubs.uspto.gov/pubwebapp/external.html?q=20150321107.pn.</t>
  </si>
  <si>
    <t>1. An experience ride representation apparatus for a real-sense media service based on a multi-vision in which a motion of a user is reflected so as to move in a plurality of screen units depending on a first signal received from the user, a second signal is transmitted to the user based on real-sense media contents reproduced on the screen unit, and metaverse contents are provided to a plurality of users when the screen unit is shared by the plurality of users.</t>
  </si>
  <si>
    <t>2. An experience ride representation apparatus for a real-sense media service based on a multi-vision, comprising:
a content server providing real-sense media contents and real-sense effect data corresponding to the real-sense media contents;
a plurality of screen units reproducing the real-sense media contents;
a real-sense device providing a real-sense effect to a user based on the real-sense effect data;
a motion recognizing unit recognizing a motion of the user to generate motion information;
a motion processing unit reflecting the motion of the user in the screen unit based on the motion information;
a screen moving unit requesting the motion processing unit to reflect the motion of the user in the screen unit corresponding to a screen moving signal when the motion recognizing unit receives the screen moving signal from the user; and
a metaverse server providing metaverse contents shared by a plurality of users and metaverse real-sense effect data corresponding to the metaverse contents in the case in which motions of the plurality of users are reflected in the screen unit.</t>
  </si>
  <si>
    <t>10. An experience ride representation method for a real-sense media service based on a multi-vision, comprising:
receiving a first signal from a user;
reflecting a motion of the user so as to move in a plurality of screen units depending on the first signal;
transmitting a second signal to the user based on real-sense media contents reproduced on the screen unit; and
providing metaverse contents to a plurality of users when the screen unit is shared by the plurality of users.</t>
  </si>
  <si>
    <t>11. An experience ride representation method for a real-sense media service based on a multi-vision, comprising:
providing, by a content server, real-sense media contents and real-sense effect data corresponding to the real-sense media contents to a screen unit;
reproducing, by the screen unit, the real-sense media contents;
providing, by a real-sense device, a real-sense effect to a user based on the real-sense effect data;
recognizing, by a motion recognizing unit, a motion of the user to generate motion information;
reflecting, by a motion processing unit, the motion of the user in the screen unit based on the motion information;
requesting, by a screen moving unit, the motion processing unit to reflect the motion of the user in the screen unit corresponding to a screen moving signal when the motion recognizing unit receives the screen moving signal from the user; and
providing, by a metaverse server, metaverse contents shared by a plurality of users and metaverse real-sense effect data corresponding to the metaverse contents in the case in which motions of the plurality of users are reflected in the screen unit.</t>
  </si>
  <si>
    <t>US4266775 A | US4440397 A | US4522407 A | US4682778 A | US4932668 A | US5261672 A | US5388836 A | US5810359 A | US5829746 A | US6106300 A | US6119229 A | US20050153774 A1 | US20060033275 A1 | US20070045953 A1</t>
  </si>
  <si>
    <t>US10721334 B2 | US11321999 B2 | US20200327524 A1 | US8753194 B2 | US9268454 B2 | US20150339637 A1 | US20150339641 A1 | US8458352 B2 | US8441475 B2 | US20130317906 A1 | US20090109213 A1 | US20090287758 A1 | US20090288001 A1 | US20100169125 A1 | US20120122555 A1 | US20120215658 A1</t>
  </si>
  <si>
    <t>2008-08-21</t>
  </si>
  <si>
    <t>2007-02-20</t>
  </si>
  <si>
    <t>2007-04-03</t>
  </si>
  <si>
    <t>2027-02-20</t>
  </si>
  <si>
    <t>2007-04-19</t>
  </si>
  <si>
    <t>A virtual environment in which players are charged and able to charge taxes for various taxable activities. The tax may be levied by a governmental authority or other entity or by one or more characters in the metaverse. The tax may be imposed at the time of a taxable activity at periodic intervals or upon the occurrence of an event. The tax may be imposed for a specific purpose e.g. to create a fund to use as insurance against possible harms threats or misdeeds to protect the tax payers from impending or realized threats or for any or no reason.</t>
  </si>
  <si>
    <t>System and method to levy and collect taxes in a virtual environment</t>
  </si>
  <si>
    <t>taxable|financial account|funds</t>
  </si>
  <si>
    <t>Leviathan Entertainment</t>
  </si>
  <si>
    <t>Leviathan Entertainment LLC</t>
  </si>
  <si>
    <t>Leviathan Entertainment, LLC</t>
  </si>
  <si>
    <t>US11/696080</t>
  </si>
  <si>
    <t>STEVE ROWLAND</t>
  </si>
  <si>
    <t xml:space="preserve">A method comprising:
providing a metaverse wherein players interact with each other and an environment via characters that are physically manifested in the metaverse as avatars;
maintaining a virtual financial account for a character in the metaverse, wherein the virtual financial account includes information related to the current amount of available virtual funds in the character's possession;
monitoring the activities of the character in the metaverse;
determining if an activity is taxable;
determining the tax due for the activity; and
levying the tax due against the financial account.
</t>
  </si>
  <si>
    <t>1. A method comprising:
providing a metaverse wherein players interact with each other and an environment via characters that are physically manifested in the metaverse as avatars;
maintaining a virtual financial account for a character in the metaverse, wherein the virtual financial account includes information related to the current amount of available virtual funds in the character's possession;
monitoring the activities of the character in the metaverse;
determining if an activity is taxable;
determining the tax due for the activity; and
levying the tax due against the financial account.
2. The method of claim 1 further comprising determining if there are sufficient funds in the virtual financial account to cover the tax due.
3. The method of claim 2 further comprising assessing a penalty against the character if there are insufficient funds in the virtual financial account to cover the tax due.
4. The method of claim 3 wherein the penalty is assessment of a real world currency fee against a real world financial instrument associated with the player controlling the character.
5. The method of claim 1 wherein determining the tax due comprises determining a tax rate.
6. The method of claim 5 wherein the tax rate is calculated in real time based on an identified revenue generation goal.
7. The method of claim 5 wherein the tax rate is based on the total wealth of the character.
8. The method of claim 5 wherein the tax rate is based on a player attribute associated with the character, wherein the player attribute is selected from the group consisting of: race, class and skill set.
9. The method of claim 5 wherein the tax rate is based on the age of the character.
10. The method of claim 5 further comprising determining whether the character is a member of a guild and the tax rate is based on the player's guild.
11. The method of claim 1 further comprising determining that the character has created an item.
13. The method of claim 11 further comprising determining that creating the item is a taxable activity.
14. The method of claim 11 further comprising determining that the character has sold the item.
15. The method of claim 14 further comprising determining that selling the item is a taxable activity.
16. The method of claim 14 further comprising:
determining that a second character has purchased the item;
determining that purchasing the item is a taxable activity; and
levying a tax for the purchase of the item against a financial account associated with the second character.
17. The method of claim 5 wherein the tax rate determined by one or more characters in the metaverse.
18. The method of claim 1 further comprising assessing the tax at the time the taxable activity takes place.
19. The method of claim 1 further comprising assessing the tax at a time after the taxable activity has take place.
20. The method of claim 1 further comprising assessing the tax when the player controlling the character attempts to exit the game.</t>
  </si>
  <si>
    <t>Van, Luchene Andrew S|Mueller, Raymond J</t>
  </si>
  <si>
    <t>G07F0017323200 | G06N0003006000 | G07F0017320000 | G07F0017325500</t>
  </si>
  <si>
    <t>US20080200253A1</t>
  </si>
  <si>
    <t>US20070087797 A1 | US20070087799 A1 | US20070087815 A1 | US20070087816 A1 | US20070087819 A1 | US20070087820 A1 | US20070087822 A1 | US20070087831 A1 | US20070087835 A1 | US20070099685 A1 | US20070100774 A1 | US20070105630 A1 | WO2007047569 A1 | US20070111770 A1 | US20070111784 A1 | US20070117601 A1 | US20070117615 A1 | US20070123327 A1 | US20070129124 A1 | US20070129125 A1 | US20070129126 A1 | US20070191103 A1 | US20070191104 A1 | WO2007095567 A2 | US20070218986 A1 | US20070218987 A1 | US20070225071 A1 | US20080004093 A1 | US20080004094 A1 | US20080004116 A1 | US20080004118 A1 | US20080004119 A1 | US20080004120 A1 | US20080026847 A1 | US20080046222 A1 | US20080070689 A1 | US20080070690 A1 | US20080139318 A1 | US20080200253 A1 | US20080207327 A1 | WO2008063694 A2 | US7572187 B2 | US7645194 B2 | US7651395 B2 | US7666095 B2 | US7677973 B2 | US7677974 B2 | US7677975 B2 | US7677979 B2 | US7686691 B2 | US7690990 B2 | US7690997 B2 | US20100124986 A1 | US7717782 B2 | US20100173696 A1 | US20100173697 A1 | US20100173701 A1 | US20100173702 A1 | US20100173703 A1 | US20100173713 A1 | US20100185531 A1 | US20100197382 A1 | US20100197409 A1 | US20100216542 A1 | US7780532 B2 | US20100227669 A1 | US7806758 B2 | US20100317429 A1 | US7966239 B2 | US7974901 B2 | US7974902 B2 | US20110230267 A1 | US20110250951 A1 | US20110256937 A1 | US20110263322 A1 | US20110300923 A1 | US8070596 B2 | US8070599 B2 | US20120004038 A1 | US20120077599 A1 | US8221242 B2 | US8221243 B2 | US8226472 B2 | US8251810 B2 | US8262471 B2 | US20120283011 A1 | US20120283014 A1 | US20120283024 A1 | US20120289315 A1 | US20120289316 A1 | US20120289346 A1 | US20130017886 A1 | US8360866 B2 | US8360867 B2 | US8409015 B2 | US8454431 B2 | US8454442 B2 | US8469821 B2 | US20130267329 A1 | US8574065 B2 | US8608536 B2 | US20140024448 A1 | US20140057708 A1 | US20140080608 A1 | US8696448 B2 | US20140106883 A1 | US8734229 B2 | US8751343 B2 | US8751344 B2 | US8777755 B2 | US20140228100 A1 | US20140295975 A1 | US20140329605 A1 | US20140342813 A1 | US9440151 B2 | US20070219001 A1 | US20080090628 A1 | US8267794 B2 | US20120283005 A1 | US7775885 B2 | US20070129148 A1</t>
  </si>
  <si>
    <t>I-000071501121</t>
  </si>
  <si>
    <t>20 years from 2007-02-20 (file date of patent US20080207327)</t>
  </si>
  <si>
    <t>https://patentscout.innography.com/share/YgJ4CcqI-azkY9z82RBNag%3D%3D</t>
  </si>
  <si>
    <t>2007-05-04-ASSIGNMENT (LEVIATHAN ENTERTAINMENT)|2010-11-04-INFORMATION ON STATUS: PATENT APPLICATION AND GRANTING PROCEDURE IN GENERAL</t>
  </si>
  <si>
    <t>https://patentscout.innography.com/share/YgJ4CcqI-azkY9z82RBNag%3D%3D/download</t>
  </si>
  <si>
    <t>https://ppubs.uspto.gov/pubwebapp/external.html?q=20080200253.pn.</t>
  </si>
  <si>
    <t>US20080200253 A1</t>
  </si>
  <si>
    <t>US20070191103 A1</t>
  </si>
  <si>
    <t>102 | US11/162014 | CTNF
102 | US45953D | CTNF</t>
  </si>
  <si>
    <t>103 | US08/268492 | CTNF
103 | US08/834027 | CTNF
103 | US10/522981 | CTNF
103 | US11/008382 | CTNF
103 | US153774D | CTNF
103 | US33275D | CTNF</t>
  </si>
  <si>
    <t>112 | (N/A) | CTNF</t>
  </si>
  <si>
    <t>Unassigned
Unassigned</t>
  </si>
  <si>
    <t>Unassigned
HANGER SOLUTIONS, LLC
Hybrid Edutainment Limited, New Zealand
Universal Entertainment Corporation
Edward Rettich
Unassigned</t>
  </si>
  <si>
    <t>2010-11-04</t>
  </si>
  <si>
    <t>1. A method comprising:
providing a metaverse wherein players interact with each other and an environment via characters that are physically manifested in the metaverse as avatars;
maintaining a virtual financial account for a character in the metaverse, wherein the virtual financial account includes information related to the current amount of available virtual funds in the character's possession;
monitoring the activities of the character in the metaverse;
determining if an activity is taxable;
determining the tax due for the activity; and
levying the tax due against the financial account.</t>
  </si>
  <si>
    <t>US5880731 A | US20070168863 A1 | US20080059570 A1 | US20090058860 A1 | US20090210483 A1</t>
  </si>
  <si>
    <t>US9721573 B2 | US10534515 B2 | US10803157 B2 | US10955927 B2 | US11449592 B2 | US11478704 B2 | US20150095025 A1 | US9245177 B2 | WO2016154834 A1 | US20110298827 A1 | US20130290951 A1</t>
  </si>
  <si>
    <t>2012-02-09</t>
  </si>
  <si>
    <t>A metaverse system and method for dynamically enacting syntax-based gestures in association with a metaverse application. The metaverse system includes a metaverse server and a semantic gesturing engine. The metaverse server executes a metaverse application. The metaverse application allows metaverse application allows a user on the client computer to enter a metaverse virtual world as an avatar via a metaverse client viewer. The semantic gesturing engine is coupled to the metaverse server and identifies a verbal communication from the avatar within the metaverse application dynamically selects a gesture associated with the verbal communication in response to a determination that an association exists between the verbal communication and the gesture and dynamically executes the selected gesture to cause the avatar to enact the selected gesture in conjunction with conveying the verbal communication.</t>
  </si>
  <si>
    <t>System and method for associating semantically parsed verbal communications with gestures</t>
  </si>
  <si>
    <t>US12/135328</t>
  </si>
  <si>
    <t>WILLIAM C TRAPANESE</t>
  </si>
  <si>
    <t xml:space="preserve">A computer program product comprising a computer useable storage medium to store a computer readable program that, when executed on a computer, causes the computer to perform operations comprising:
identify a verbal communication from an avatar within a metaverse application of a metaverse virtual world;
dynamically select a gesture associated with the verbal communication in response to a determination that an association exists between the verbal communication and the gesture; and
dynamically execute the selected gesture to cause the avatar to enact the selected gesture in conjunction with conveying the verbal communication.
</t>
  </si>
  <si>
    <t>1. A computer program product comprising a computer useable storage medium to store a computer readable program that, when executed on a computer, causes the computer to perform operations comprising:
identify a verbal communication from an avatar within a metaverse application of a metaverse virtual world;
dynamically select a gesture associated with the verbal communication in response to a determination that an association exists between the verbal communication and the gesture; and
dynamically execute the selected gesture to cause the avatar to enact the selected gesture in conjunction with conveying the verbal communication.
2. The computer program product of claim 1, wherein the computer readable program, when executed on the computer, causes the computer to perform further operations comprising:
parse a text string; and
analyze the parsed text string to determine a meaning of the parsed text string using at least one of a plurality of semantic analysis techniques, wherein the plurality of analysis techniques comprise morphological analysis and syntactical analysis.
3. The computer program product of claim 2, wherein the computer readable program, when executed on the computer, causes the computer to perform further operations comprising:
compare the parsed text string to entries in a syntax database, wherein the entries in the syntax database define associations between elements of common text strings and a semantic meaning of the elements of the common text strings;
determine whether a match exists between the parsed text string and the entries in the syntax database;
compare a derived meaning of the text string to entries in a gesture database, wherein the derived meaning of the text string is based on the match between the parsed text string and the entries in the syntax database, wherein the entries in the gesture database define associations between the semantic meanings of the elements of the common text strings and a plurality of gestures; and
determine whether a match exists between the derived meaning of the text string and the entries in the gesture database.
4. The computer program product of claim 1, wherein the computer readable program, when executed on the computer, causes the computer to perform operations comprising:
define the association between the verbal communication and the gesture in the metaverse application; and
allow a user to modify existing associations between user generated text and at least one of a plurality of gestures in the metaverse application.
5. The computer program product of claim 1, wherein the computer readable program, when executed on the computer, causes the computer to perform operations comprising:
store associations between common text strings and semantic meanings of the common text strings, wherein the common text strings and the semantic meanings are stored in an arrangement to define associations between the common text strings and semantic meanings of the common text strings; and
store associations between the semantic meanings of common text strings and a plurality of gestures, wherein the common text strings and the semantic meanings are stored in an arrangement to define associations between the semantic meanings of common text strings and the plurality of gestures.
6. The computer program product of claim 1, wherein the computer readable program, when executed on the computer, causes the computer to perform operations comprising:
receive voice input in conjunction with the metaverse application;
convert the voice input to a text string form; and
select the gesture associated with the text string form.
7. A system comprising:
a metaverse server coupled to the client computer, the metaverse server to execute a metaverse application, wherein the metaverse application allows a user on the client computer to enter a metaverse virtual world as an avatar via a metaverse client viewer; and
a semantic gesturing engine coupled to the metaverse server, the semantic gesturing engine to identify a verbal communication from the avatar within the metaverse application, to dynamically select a gesture associated with the verbal communication in response to a determination that an association exists between the verbal communication and the gesture, and to dynamically execute the selected gesture to cause the avatar to enact the selected gesture in conjunction with conveying the verbal communication.
8. The system of claim 7, wherein the semantic gesturing engine comprises a semantic parser, the semantic parser to parse a text string and to determine a meaning of the parsed text string through semantic analysis of semantic elements in the parsed text string.
9. The system of claim 8, wherein the semantic gesturing engine further comprises a comparator, the comparator to compare the parsed text string to entries in a syntax database and to determine whether a match exists between the parsed text string and the entries in the syntax database, wherein the entries in the syntax database define associations between elements of common text strings and semantic meanings of the elements of the common text strings.
10. The system of claim 8, wherein the comparator is further configured to compare a derived meaning of the text string to entries in a gesture database, wherein the derived meaning of the text string is based on the match between the parsed text string and the entries in the syntax database, and to determine whether a match exists between the derived meaning of the text string and the entries in the gesture database, wherein the entries in the gesture database define associations between the semantic meanings of the elements of the common text strings and a plurality of gestures.
11. The system of claim 7, wherein the semantic gesturing engine further comprises a configurator, the configurator to define the association between the verbal communication and the gesture in the metaverse application and to allow the user to modify existing associations between user generated text and at least one of the plurality of gestures in the metaverse application.
12. The system of claim 7, further comprising a memory device coupled to the metaverse server wherein the memory device comprises a syntax database to store associations between common text strings and semantic meanings of common text strings.
13. The system of claim 7, further comprising a memory device coupled to the metaverse server wherein the memory device comprises a gesture database to store associations between the semantic meanings of common text strings and a plurality of gestures in the metaverse application.
14. The system of claim 7, wherein the semantic gesturing engine further comprises a voice-to-text converter to convert a voice input audio from the user to a text string form.
15. A method comprising:
identifying a verbal communication from an avatar within a metaverse application of a metaverse virtual world;
dynamically selecting a gesture associated with the verbal communication in response to a determination that an association exists between the verbal communication and the gesture; and
dynamically executing the selected gesture to cause the avatar to enact the selected gesture in conjunction with conveying the verbal communication.
16. The method of claim 15, further comprising:
parsing a text string; and
determining a meaning of the parsed text string using at least one of a plurality of semantic analysis techniques, wherein the plurality of analysis techniques comprise morphological analysis and syntactical analysis.
17. The method of claim 16, further comprising:
comparing the parsed text string to entries in a syntax database, wherein the entries in the syntax database define associations between elements of common text strings and a semantic meaning of the elements of the common text strings; and
determining whether a match exists between the parsed text string and the entries in the syntax database.
18. The method of claim 17, further comprising:
comparing a derived meaning of the text string to entries in a gesture database, wherein the derived meaning of the text string is based on the match between the parsed text string and the entries in the syntax database, wherein the entries in the gesture database define associations between the semantic meanings of the elements of the common text strings and a plurality of gestures; and
determining whether a match exists between the derived meaning of the text string and the entries in the gesture database.
19. The method of claim 15, further comprising:
defining the association between the verbal communication and the gesture in the metaverse application; and
allowing a user to modify existing associations between user generated text and at least one of a plurality of gestures in the metaverse application.
20. The method of claim 15, further comprising:
storing associations between common text strings and semantic meanings of the common text strings, wherein the common text strings and the semantic meanings are stored in an arrangement to define associations between the common text strings and semantic meanings of the common text strings; and
storing associations between the semantic meanings of common text strings and a plurality of gestures, wherein the common text strings and the semantic meanings are stored in an arrangement to define associations between the semantic meanings of common text strings and the plurality of gestures.</t>
  </si>
  <si>
    <t>G06T0013400000 | A63F2300660700 | G06N0003006000 | G10L0015260000</t>
  </si>
  <si>
    <t>G06F00304800 | G06F01730000</t>
  </si>
  <si>
    <t>707999100|707E17044|715728000</t>
  </si>
  <si>
    <t>US20090307595A1</t>
  </si>
  <si>
    <t>US20090307595 A1</t>
  </si>
  <si>
    <t>I-000085102394</t>
  </si>
  <si>
    <t>https://patentscout.innography.com/share/0H-zkpL8dXC7CRf7ZkbgWg%3D%3D</t>
  </si>
  <si>
    <t>2008-06-03-ASSIGNMENT (INTERNATIONAL BUSINESS MACHINES CORPORATION)|2012-02-09-INFORMATION ON STATUS: APPLICATION DISCONTINUATION</t>
  </si>
  <si>
    <t>https://patentscout.innography.com/share/0H-zkpL8dXC7CRf7ZkbgWg%3D%3D/download</t>
  </si>
  <si>
    <t>https://ppubs.uspto.gov/pubwebapp/external.html?q=20090307595.pn.</t>
  </si>
  <si>
    <t>103 | US11/410323 | CTFR
103 | US11/850235 | CTNF
103 | US11/850235 | CTFR
103 | US11/887862 | CTNF
103 | US11/887862 | CTFR</t>
  </si>
  <si>
    <t>Microsoft Corporation
Verizon Communications Inc.
Verizon Communications Inc.
Mor (F) Dynamics Pty Ltd.
Mor (F) Dynamics Pty Ltd.</t>
  </si>
  <si>
    <t>2011-07-21</t>
  </si>
  <si>
    <t>2011-01-05</t>
  </si>
  <si>
    <t>1. A computer program product comprising a computer useable storage medium to store a computer readable program that, when executed on a computer, causes the computer to perform operations comprising:
identify a verbal communication from an avatar within a metaverse application of a metaverse virtual world;
dynamically select a gesture associated with the verbal communication in response to a determination that an association exists between the verbal communication and the gesture; and
dynamically execute the selected gesture to cause the avatar to enact the selected gesture in conjunction with conveying the verbal communication.</t>
  </si>
  <si>
    <t>7. A system comprising:
a metaverse server coupled to the client computer, the metaverse server to execute a metaverse application, wherein the metaverse application allows a user on the client computer to enter a metaverse virtual world as an avatar via a metaverse client viewer; and
a semantic gesturing engine coupled to the metaverse server, the semantic gesturing engine to identify a verbal communication from the avatar within the metaverse application, to dynamically select a gesture associated with the verbal communication in response to a determination that an association exists between the verbal communication and the gesture, and to dynamically execute the selected gesture to cause the avatar to enact the selected gesture in conjunction with conveying the verbal communication.</t>
  </si>
  <si>
    <t>15. A method comprising:
identifying a verbal communication from an avatar within a metaverse application of a metaverse virtual world;
dynamically selecting a gesture associated with the verbal communication in response to a determination that an association exists between the verbal communication and the gesture; and
dynamically executing the selected gesture to cause the avatar to enact the selected gesture in conjunction with conveying the verbal communication.</t>
  </si>
  <si>
    <t>KR20180138463 A | KR20200043781 A</t>
  </si>
  <si>
    <t>2021-10-01</t>
  </si>
  <si>
    <t>2041-10-01</t>
  </si>
  <si>
    <t>The present invention relates to a method for simulating a heat exchanger and a space and controlling a heat exchanger and a technology for implementing the same. Receiving the sensed information and controlling the operation of the heat exchanger and related devices by creating a block including a control command for controlling the operation of the heat exchanger and the heat exchanger-related device in response to the information sensed by the control unit of the metaverse. and when the communication unit receives the changed information thereafter generating a block including a control command for controlling the operation of the heat exchanger and the heat exchanger-related device by the control unit.</t>
  </si>
  <si>
    <t>Method of sunykatubg heat exchanger and space and controlling heat exchanger and device implementing thereof</t>
  </si>
  <si>
    <t>KR20210130797A</t>
  </si>
  <si>
    <t>Receiving information from the sensor or block chain of the first user by sensing the movement or location of the first user from the sensor of the first space by the communication unit of the metaverse server; Generating a block including a control command for controlling the operation of the heat exchanger and the heat exchanger-related device in response to the sensed information by the control unit of the metaverse; transmitting identification information of the generated block by the communication unit to the heat exchanger and the related device; and receiving, by the communication unit, information about a change in movement or position of the first user or a change in temperature of the first space from the sensor of the first space, from the sensor or the blockchain; A method of simulating a heat exchanger and a space and controlling a heat exchanger, comprising generating a block including control commands for controlling the operation of the heat exchanger and the heat exchanger-related device by the control unit.</t>
  </si>
  <si>
    <t>Receiving information from the sensor or block chain of the first user by sensing the movement or location of the first user from the sensor of the first space by the communication unit of the metaverse server; Generating a block including a control command for controlling the operation of the heat exchanger and the heat exchanger-related device in response to the sensed information by the control unit of the metaverse; transmitting identification information of the generated block by the communication unit to the heat exchanger and the related device; and receiving, by the communication unit, information about a change in movement or position of the first user or a change in temperature of the first space from the sensor of the first space, from the sensor or the blockchain; A method of simulating a heat exchanger and a space and controlling a heat exchanger, comprising generating a block including control commands for controlling the operation of the heat exchanger and the heat exchanger-related device by the control unit.
The method of claim 1, wherein the metaverse implementation unit of the metaverse server simulates a heat exchanger and space, further comprising rendering the temperature of the first space and the movement and location of the first user in the metaverse world, How to control a heat exchanger.
The method of claim 1, wherein the heat exchanger is a chiller, and the related device includes a control motor for discharging heat from the chiller, a blowing control motor for moving cold air generated by the chiller to the first space, and the related device to the first space. A method of simulating a heat exchanger and a space, which is one of the fan control motors for injecting the cold air, and controlling the heat exchanger.
The method of claim 1, wherein the sensor is a camera for checking movement or location information of people in the first space, a temperature and humidity sensor for sensing temperature and humidity in the first space, or whether a window or door in the first space is opened or closed. Alternatively, a method for simulating a heat exchanger and a space and controlling a heat exchanger, which is any one of a door-window sensor for sensing whether or not sunlight is incident.
The method of claim 1, wherein the control unit determines the size information of the wall surface and the window or door of the first space, the temperature and flow rate information of the air introduced through the window or door, and the amount of sunlight incident through the window or door. generating temperature change information of the first space by using; And simulating a temperature change of the first space according to the temperature change information by the metaverse implementation unit of the metaverse server, simulating a heat exchanger and a space and controlling the heat exchanger.
The method of claim 5, wherein, after the step of simulating the temperature change, the control unit generates first relocation information of the heat exchanger and devices related to the heat exchanger or second relocation information of the air passage generated by the heat exchanger. step; and simulating a temperature change of the first space by the metaverse implementation unit using the first relocation information and the second relocation information.
The method of claim 1, further comprising: receiving data sensed by the communication unit from sensors disposed in the heat exchanger or a related device; Rendering the operation or state of the heat exchanger or related device in the metaverse world by the metaverse implementation unit of the metaverse server; and controlling the metaverse implementation unit so that the control unit determines an abnormal operation or performance degradation of the heat exchanger or related device using the received data and displays a warning message in the metaverse world. How to simulate tiled spaces and control heat exchangers.
A metaverse implementation unit that implements the metaverse world and simulates heat exchangers and spaces; a communication unit for receiving information obtained by sensing a motion or location of a first user from a sensor in a first space from the sensor or a block chain; and a control unit generating a block including control commands for controlling operations of the heat exchanger and the heat exchanger related devices in response to the sensed information. The communication unit transmits the identification information of the generated block to the heat exchanger and the related device, and the communication unit transmits a change in movement or position of the first user from the sensor in the first space or the first user. When information on the change in temperature of one space is received from the sensor or block chain, the control unit generates a block including a control command for controlling the operation of the heat exchanger and the heat exchanger-related device. A metaverse server that simulates and controls the heat exchangers.
The method of claim 8, wherein the metaverse implementation unit of the metaverse server renders the temperature of the first space and the movement and location of the first user in the metaverse world, a heat exchanger and a meta that simulates the space and controls the heat exchanger. bus server.
9. The method of claim 8, wherein the heat exchanger is a chiller, and the related device comprises a control motor for discharging heat from the chiller, a blower control motor for moving cold air generated by the chiller to the first space, and the related device to the first space. A metaverse server that simulates a space with a heat exchanger, which is one of the fan control motors for injecting the cold air, and controls the heat exchanger.
The method of claim 8, wherein the sensor is a camera for checking movement or location information of people in the first space, a temperature and humidity sensor for sensing temperature and humidity in the first space, or whether a window or door in the first space is opened or closed. Or a metaverse server that simulates a heat exchanger and space and controls the heat exchanger, which is either a door-window sensor that senses whether or not sunlight is incident.
The method of claim 8, wherein the control unit determines the size information of the wall surface and the window or door of the first space, the temperature and flow rate information of the air introduced through the window or door, and the amount of sunlight incident through the window or door. Using a metaverse server that generates temperature change information of the first space, and simulates a heat exchanger and a space where the metaverse implementation unit simulates a temperature change of the first space according to the temperature change information and controls the heat exchanger.
The method of claim 12, wherein after the metaverse implementation unit simulates the temperature change, the control unit provides first rearrangement information of the heat exchanger and devices related to the heat exchanger or second rearrangement information of the air passage generated by the heat exchanger. A metaverse server that generates, and the metaverse implementation unit simulates a heat exchanger and space and controls the heat exchanger, simulating a temperature change of the first space using the first relocation information and the second relocation information.
The method of claim 8, wherein the communication unit receives data sensed from sensors disposed in the heat exchanger or related device, and the metaverse implementation unit of the metaverse server operates or operates the heat exchanger or related device in the metaverse world. Heat exchanger that renders a state, and controls the metaverse implementation unit so that the control unit determines abnormal operation or performance degradation of the heat exchanger or related device using the received data and displays a warning message in the metaverse world. A metaverse server that simulates tiled spaces and controls heat exchangers.
When the sensor in the first space creates a first block containing information from sensing the motion or location of the first user and requests to add it to the blockchain, blockchain nodes verify the first block and add the first block to the blockchain. Adding 1 block; When the metaverse server creates a second block including a control command for controlling the operation of the heat exchanger and the heat exchanger-related device in response to the sensed information of the first block and requests to add it to the blockchain, the blockchain node adding the second block to the blockchain by verifying the second block; After the heat exchanger and the related device check the control command of the second block and operate according to the control command, the sensor of the first space detects a change in the movement or position of the first user or the first space. Generating a third block containing information about a change in temperature of and requesting addition to the blockchain, verifying the third block by blockchain nodes and adding the third block to the blockchain; And if the metaverse server creates a fourth block including a control command for controlling the operation of the heat exchanger and the heat exchanger-related device in response to the information of the third block and requests to add it to the block chain, the block chain The method of adding a block to a blockchain comprising the steps of nodes verifying the second block and adding the fourth block to the blockchain.</t>
  </si>
  <si>
    <t>F24F0011000000</t>
  </si>
  <si>
    <t>F24F01163000</t>
  </si>
  <si>
    <t>F24F01163000 | F24F01156000 | F24F01172000 | F24F11010000 | F24F11030000 | F24F12012000 | F24F13020000 | H04L00940000 | H04L06540000</t>
  </si>
  <si>
    <t>KR102474975B1</t>
  </si>
  <si>
    <t>$14829</t>
  </si>
  <si>
    <t>KR102474975 B1</t>
  </si>
  <si>
    <t>I-000233305797</t>
  </si>
  <si>
    <t>20 years from 2021-10-01 (file date)</t>
  </si>
  <si>
    <t>https://patentscout.innography.com/share/cOO8_H0gbmh_5oirz8zwnQ%3D%3D</t>
  </si>
  <si>
    <t>2022-11-16-DECISION TO GRANT OR REGISTRATION OF PATENT RIGHT|2022-12-01-WRITTEN DECISION TO GRANT</t>
  </si>
  <si>
    <t>https://patentscout.innography.com/share/cOO8_H0gbmh_5oirz8zwnQ%3D%3D/download</t>
  </si>
  <si>
    <t>https://v3.espacenet.com/publicationDetails/biblio?CC=KR&amp;NR=102474975B1&amp;KC=B1&amp;FT=D&amp;date=20221206&amp;DB=EPODOC&amp;locale=</t>
  </si>
  <si>
    <t>KR20102474975 B1</t>
  </si>
  <si>
    <t>1.  Receiving information from the sensor or block chain of the first user by sensing the movement or location of the first user from the sensor of the first space by the communication unit of the metaverse server; Generating a block including a control command for controlling the operation of the heat exchanger and the heat exchanger-related device in response to the sensed information by the control unit of the metaverse; transmitting identification information of the generated block by the communication unit to the heat exchanger and the related device; and receiving, by the communication unit, information about a change in movement or position of the first user or a change in temperature of the first space from the sensor of the first space, from the sensor or the blockchain; A method of simulating a heat exchanger and a space and controlling a heat exchanger, comprising generating a block including control commands for controlling the operation of the heat exchanger and the heat exchanger-related device by the control unit.</t>
  </si>
  <si>
    <t>8.  A metaverse implementation unit that implements the metaverse world and simulates heat exchangers and spaces; a communication unit for receiving information obtained by sensing a motion or location of a first user from a sensor in a first space from the sensor or a block chain; and a control unit generating a block including control commands for controlling operations of the heat exchanger and the heat exchanger related devices in response to the sensed information. The communication unit transmits the identification information of the generated block to the heat exchanger and the related device, and the communication unit transmits a change in movement or position of the first user from the sensor in the first space or the first user. When information on the change in temperature of one space is received from the sensor or block chain, the control unit generates a block including a control command for controlling the operation of the heat exchanger and the heat exchanger-related device. A metaverse server that simulates and controls the heat exchangers.</t>
  </si>
  <si>
    <t>15.  When the sensor in the first space creates a first block containing information from sensing the motion or location of the first user and requests to add it to the blockchain, blockchain nodes verify the first block and add the first block to the blockchain. Adding 1 block; When the metaverse server creates a second block including a control command for controlling the operation of the heat exchanger and the heat exchanger-related device in response to the sensed information of the first block and requests to add it to the blockchain, the blockchain node adding the second block to the blockchain by verifying the second block; After the heat exchanger and the related device check the control command of the second block and operate according to the control command, the sensor of the first space detects a change in the movement or position of the first user or the first space. Generating a third block containing information about a change in temperature of and requesting addition to the blockchain, verifying the third block by blockchain nodes and adding the third block to the blockchain; And if the metaverse server creates a fourth block including a control command for controlling the operation of the heat exchanger and the heat exchanger-related device in response to the information of the third block and requests to add it to the block chain, the block chain The method of adding a block to a blockchain comprising the steps of nodes verifying the second block and adding the fourth block to the blockchain.</t>
  </si>
  <si>
    <t>US20040128350 A1 | US20070168359 A1 | US7027463 B2 | US7453894 B1 | US20030126108 A1 | US20050114783 A1 | US20060179410 A1 | US20070121869 A1 | US20070130275 A1 | US20070168447 A1 | US20070168863 A1 | US20070185967 A1 | US20070214001 A1 | US20080030496 A1 | US20080235582 A1 | US20090177974 A1 | US20090254358 A1</t>
  </si>
  <si>
    <t>US9977572 B2 | US10311482 B2 | US10419921 B2 | US10579401 B2 | US10768790 B2 | US10812965 B2 | US10832589 B1 | US20180267677 A1 | US11227312 B2 | US11282278 B1 | US11314401 B2 | US11429250 B2 | US20220319117 A1 | US9002966 B2 | US20150279117 A1 | US9544393 B2 | US20160074757 A1 | US20110295928 A1 | US8650248 B2</t>
  </si>
  <si>
    <t>2011-02-03</t>
  </si>
  <si>
    <t>2009-07-31</t>
  </si>
  <si>
    <t>2014-01-24</t>
  </si>
  <si>
    <t>A metaverse system and method for representing multiple versions of a user&amp;#39;s avatar to other users of a virtual world. The system includes a metaverse server connected to a network. The metaverse server executes a metaverse application. The metaverse application enables an avatar of a first user to interact with avatars of other users within a metaverse virtual world. The system also includes a representation engine connected to the metaverse server. The representation engine conveys a first representation of the avatar of the first user to a second user according to a default profile. The representation engine simultaneously conveys a second representation of the avatar of the first user to a third user according to an alternative profile. The alternative profile is typically different from the default profile. Other embodiments of the system are also described.</t>
  </si>
  <si>
    <t>Selective and on-demand representation in a virtual world</t>
  </si>
  <si>
    <t>US12/533370</t>
  </si>
  <si>
    <t>HIEN LUONGVAN DUONG</t>
  </si>
  <si>
    <t>2175: Graphical User Interface and Document Processing</t>
  </si>
  <si>
    <t xml:space="preserve">A computer program product comprising a computer usable storage medium to store a computer readable program that, when executed on a computer, causes the computer to perform operations comprising:
execute a metaverse application, wherein the metaverse application enables an avatar of a first user to interact with avatars of other users within a metaverse virtual world;
convey a first representation of the avatar of the first user to a second user according to a default profile; and
simultaneously convey a second representation of the avatar of the first user to a third user according to an alternative profile.
</t>
  </si>
  <si>
    <t>1. A computer program product comprising a computer usable storage medium to store a computer readable program that, when executed on a computer, causes the computer to perform operations comprising:
execute a metaverse application, wherein the metaverse application enables an avatar of a first user to interact with avatars of other users within a metaverse virtual world;
convey a first representation of the avatar of the first user to a second user according to a default profile; and
simultaneously convey a second representation of the avatar of the first user to a third user according to an alternative profile.
2. The computer program product of claim 1, wherein the computer readable program, when executed on the computer, causes the computer to perform operations to allow the first user to configure profile characteristics of the default and the alternative profiles and to store the default and the alternative profiles in a memory storage device wherein each of the default and alternative profiles comprises at least one profile characteristic selected from the group consisting of hair color, hair style, clothing, age, gender, race, height, weight, body type, voice type, gestures, and allowed expressions.
3. The computer program product of claim 2, wherein the computer readable program, when executed on the computer, causes the computer to perform operations to allow the first user to configure a profile trigger and to store the profile trigger in a memory storage device, wherein the profile trigger comprises at least one trigger selected from the group consisting of an activation time, an activation location, and an activation contact, wherein the activation time comprises a time of day within the virtual world that indicates when the alternative profile is represented to another user, the activation location comprises a location within the virtual world that indicates where within the virtual world the alternative profile is represented to another user, and the activation contact comprises an identifier of another user's avatar that indicates to whom the alternative profile is represented.
4. The computer program product of claim 3, wherein the computer readable program, when executed on the computer, causes the computer to perform operations to dynamically recognize the profile trigger of the alternative profile and to dynamically implement the alternative profile in response to the profile trigger.
5. The computer program product of claim 3, wherein the computer readable program, when executed on the computer, causes the computer to perform operations to monitor at least one of a plurality of environmental cues of the metaverse virtual world, to compare at least one of the environmental cues to at least one of the profile triggers, and to implement the alternative profile in response to a match between at least one of the environmental cues and at least one of the profile triggers associated with the alternative profile, wherein the environmental cues comprise at least the time of day in the virtual world, the location of the avatar in the virtual world, and another avatar that is within a predetermined radius of the first user's avatar.
6. The computer program product of claim 3, wherein the computer readable program, when executed on the computer, causes the computer to perform operations to monitor profile characteristics of the third user's avatar and to send a monitor signal to the representation engine to instruct the representation engine to adapt at least one profile characteristic of the first user's avatar to match at least one of the profile characteristics of the third user's avatar, wherein the representation engine simultaneously represents at least one of the profile characteristics of the avatar of the first user to the third user according to the profile characteristics of the third user's avatar.
7. The computer program product of claim 3, wherein the computer readable program, when executed on the computer, causes the computer to perform operations to monitor a profile preference of the third user and to send a monitor signal to the representation engine to instruct the representation engine to adapt the appearance of the first user's avatar to match the profile preference, wherein the profile preference comprises at least one of the plurality of profile characteristics, and wherein at least one of the plurality of profile characteristics of the first user's profile that is represented to the third user as the first user's avatar is set equal to the at least one of the plurality of profile characteristics of the third user's profile preference.
8. The computer program product of claim 2, wherein the computer readable program, when executed on the computer, causes the computer to perform operations to receive an audio signal from an audio input device on a first client computer of the first user, to modify the audio signal according to the voice type associated with the alternative profile, and to output the modified audio signal to a second client computer of the second user.
9. The computer program product of claim 2, wherein the computer readable program, when executed on the computer, causes the computer to perform operations to receive a signal from a video input device on the first client computer of the first user, to analyze the signal, to generate the allowed expression associated with the alternative profile, and to output the generated expression to a second client computer of the second user.
10. A system comprising:
a metaverse server coupled to a network, the metaverse server to execute a metaverse application, wherein the metaverse application enables an avatar of a first user to interact with avatars of other users within a metaverse virtual world; and
a representation engine coupled to the metaverse server, the representation engine to convey a first representation of the avatar of the first user to a second user according to a default profile and to simultaneously convey a second representation of the avatar of the first user to a third user according to an alternative profile, wherein the alternative profile is different from the default profile.
11. The system of claim 10, wherein the representation engine comprises a profile configurator to allow the first user to configure profile characteristics of the default and the alternative profiles and to store the default and the alternative profiles in a memory storage device wherein each of the default and alternative profiles comprises at least one profile characteristic selected from the group consisting of hair color, hair style, clothing, age, gender, race, height, weight, body type, voice type, gestures, and allowed expressions.
12. The system of claim 11, wherein the profile configurator is further configured to allow the first user to configure a profile trigger and to store the profile trigger in a memory storage device, wherein the profile trigger comprises at least one trigger selected from the group consisting of an activation time, an activation location, and an activation contact, wherein the activation time comprises a time of day within the virtual world that indicates when the alternative profile is represented to another user, the activation location comprises a location within the virtual world that indicates where within the virtual world the alternative profile is represented to another user, and the activation contact comprises an identifier of another user's avatar that indicates to whom the alternative profile is represented.
13. The system of claim 12, wherein the representation engine is further configured to dynamically recognize a profile trigger of the alternative profile and to dynamically implement the alternative profile in response to the profile trigger.
14. The system of claim 12, the representation engine further comprising an environment monitor coupled to the profile configurator, the environment monitor to monitor at least one of a plurality of environmental cues of the metaverse virtual world, to compare at least one of the environmental cues to at least one of the profile triggers, and to implement the alternative profile in response to a match between at least one of the environmental cues and at least one of the profile triggers associated with the alternative profile, wherein the environmental cues comprise at least the time of day in the virtual world, the location of the avatar in the virtual world, and another avatar that is within a predetermined radius of the first user's avatar.
15. The system of claim 12, wherein the environment monitor is further configured to monitor profile characteristics of the third user's avatar and to send a monitor signal to the representation engine to instruct the representation engine to adapt at least one profile characteristic of the first user's avatar to match at least one of the profile characteristics of the third user's avatar, wherein the representation engine simultaneously represents the profile characteristics of the avatar of the first user to the third user according to the profile characteristics of the third user's avatar.
16. The system of claim 12, wherein the environment monitor is further configured to monitor a profile preference of the third user and to send a monitor signal to the representation engine to instruct the representation engine to adapt the appearance of the first user's avatar to match the profile preference of the third user, wherein the profile preference comprises at least one of the plurality of profile characteristics, and wherein at least one of the plurality of profile characteristics of the first user's profile that is represented to the third user as the first user's avatar is set equal to the at least one of the plurality of profile characteristics of the third user's profile preference.
17. The system of claim 11, further comprising a processor coupled to the representation engine, the processor to receive an audio signal from an audio input device on a first client computer of the first user, to modify the audio signal according to the voice type associated with the alternative profile, and to output the modified audio signal to a second client computer of the second user.
18. The system of claim 11, further comprising a processor coupled to the representation engine, the processor to receive a signal from a video input device on the first client computer of the first user, to analyze the signal, to generate the allowed expression associated with the alternative profile, and to output the generated expression to a second client computer of the second user.
19. A method comprising:
executing a metaverse application to enable an avatar of a first user to interact with avatars of other users within a metaverse virtual world;
conveying a first representation of the avatar of the first user to a second user according to a default profile;
recognizing a profile trigger associated with an alternative profile; and
dynamically conveying a second representation of the avatar of the first user to a third user according to the alternative profile while continuing to convey the first representation to the second user.
20. The method of claim 19, further comprising:
configuring profile characteristics of the default and alternative profiles, wherein each of the default and alternative profiles comprises at least one profile characteristic selected from the group consisting of hair color, hair style, clothing, age, gender, race, height, weight, body type, voice type, gestures, and allowed expressions;
configuring the profile trigger, wherein the profile trigger comprises at least one trigger selected from the group consisting of an activation time, an activation location, and an activation contact, wherein the activation time comprises a time of day within the virtual world that indicates when the alternative profile is represented to the third user, the activation location comprises a location within the virtual world that indicates where within the virtual world the alternative profile is represented to the third user, and the activation contact comprises an identifier of the third user's avatar that indicates to whom the alternative profile is represented;
storing the profiles and the profile trigger in a memory storage device;
monitoring at least one of a plurality of environmental cues of the metaverse virtual world, wherein the environmental cues comprise at least the time of day in the virtual world, the location of the first user's avatar in the virtual world, and another avatar that is within a predetermined radius of the first user's avatar;
comparing at least one of the environmental cues to at least one of the profile triggers; and
implementing the alternative profile in response to a match between at least one of the environmental cues and at least one of the profile triggers associated with the alternative profile.</t>
  </si>
  <si>
    <t>Karstens, Christopher Kent</t>
  </si>
  <si>
    <t>A63F0013630000</t>
  </si>
  <si>
    <t>A63F0013630000 | G06N0003006000 | A63F2300690000 | A63F0013335000 | A63F0013350000 | A63F2300407000 | A63F2300535000 | A63F2300555300 | A63F2300556600 | A63F2300559300 | A63F2300607200 | A63F2300650000</t>
  </si>
  <si>
    <t>G06F00304800 | G06F00301000</t>
  </si>
  <si>
    <t>715745000|715757000</t>
  </si>
  <si>
    <t>US20110029889A1</t>
  </si>
  <si>
    <t>US20110029889 A1</t>
  </si>
  <si>
    <t>I-000093605946</t>
  </si>
  <si>
    <t>https://patentscout.innography.com/share/wTKrmvKFHg_HF9yoI41RFg%3D%3D</t>
  </si>
  <si>
    <t>2009-07-31-ASSIGNMENT (INTERNATIONAL BUSINESS MACHINES CORPORATION)|2014-01-24-INFORMATION ON STATUS: APPLICATION DISCONTINUATION</t>
  </si>
  <si>
    <t>https://patentscout.innography.com/share/wTKrmvKFHg_HF9yoI41RFg%3D%3D/download</t>
  </si>
  <si>
    <t>https://ppubs.uspto.gov/pubwebapp/external.html?q=20110029889.pn.</t>
  </si>
  <si>
    <t>102 | US11/971201 | CTNF</t>
  </si>
  <si>
    <t>103 | US10/105696 | CTFR
103 | US11/109518 | CTNF
103 | US11/109518 | CTNF
103 | US11/109518 | CTFR
103 | US11/109518 | CTFR
103 | US11/682299 | CTNF
103 | US11/682299 | CTNF
103 | US11/682299 | CTFR
103 | US11/682299 | CTFR
103 | US11/686291 | CTFR
103 | US11/845664 | CTNF
103 | US11/845664 | CTNF
103 | US11/845664 | CTFR
103 | US11/845664 | CTFR
103 | US11/971201 | CTNF
103 | US11/971201 | CTFR
103 | US11/971201 | CTFR
103 | US12/099095 | CTNF
103 | US12/099095 | CTNF
103 | US12/099095 | CTFR
103 | US12/099095 | CTFR</t>
  </si>
  <si>
    <t>HCL Technologies Limited</t>
  </si>
  <si>
    <t>AT&amp;T Inc.
Deutsche Telekom AG
Deutsche Telekom AG
Deutsche Telekom AG
Deutsche Telekom AG
Sony Group Corporation
Sony Group Corporation
Sony Group Corporation
Sony Group Corporation
Sony Group Corporation
Social Concepts, Inc.
Social Concepts, Inc.
Social Concepts, Inc.
Social Concepts, Inc.
HCL Technologies Limited
HCL Technologies Limited
HCL Technologies Limited
International Business Machines Corp.
International Business Machines Corp.
International Business Machines Corp.
International Business Machines Corp.</t>
  </si>
  <si>
    <t>2013-07-19</t>
  </si>
  <si>
    <t>2013-02-15</t>
  </si>
  <si>
    <t>1. A computer program product comprising a computer usable storage medium to store a computer readable program that, when executed on a computer, causes the computer to perform operations comprising:
execute a metaverse application, wherein the metaverse application enables an avatar of a first user to interact with avatars of other users within a metaverse virtual world;
convey a first representation of the avatar of the first user to a second user according to a default profile; and
simultaneously convey a second representation of the avatar of the first user to a third user according to an alternative profile.</t>
  </si>
  <si>
    <t>10. A system comprising:
a metaverse server coupled to a network, the metaverse server to execute a metaverse application, wherein the metaverse application enables an avatar of a first user to interact with avatars of other users within a metaverse virtual world; and
a representation engine coupled to the metaverse server, the representation engine to convey a first representation of the avatar of the first user to a second user according to a default profile and to simultaneously convey a second representation of the avatar of the first user to a third user according to an alternative profile, wherein the alternative profile is different from the default profile.</t>
  </si>
  <si>
    <t>19. A method comprising:
executing a metaverse application to enable an avatar of a first user to interact with avatars of other users within a metaverse virtual world;
conveying a first representation of the avatar of the first user to a second user according to a default profile;
recognizing a profile trigger associated with an alternative profile; and
dynamically conveying a second representation of the avatar of the first user to a third user according to the alternative profile while continuing to convey the first representation to the second user.</t>
  </si>
  <si>
    <t>US20060178899 A1 | US20060178964 A1 | US20060178965 A1 | US20060190284 A1 | US20070143119 A1</t>
  </si>
  <si>
    <t>US9568993 B2 | US9592449 B2 | US9636586 B2 | US9741147 B2 | US9760568 B2 | US9775554 B2 | US10007930 B2 | US10022631 B2 | US10147273 B2 | US10155168 B2 | US10244012 B2 | US10569177 B2 | US10603588 B2 | US20180229121 A1 | US10692327 B2 | US10765948 B2 | US10878799 B2 | US10880246 B2 | US10905959 B2 | US10938758 B2 | US10952013 B1 | US10963529 B1 | US10981069 B2 | US10984569 B2 | US11048916 B2 | US20190180733 A1 | US11167215 B2 | US11218433 B2 | US11229849 B2 | US11235246 B2 | US11291919 B2 | US11325035 B2 | US11341962 B2 | US11367435 B2 | US11385763 B2 | US11392264 B1 | US11413536 B2 | US11418906 B2 | US11425068 B2 | CN114625487 A | US11451956 B1 | US11474663 B2 | US8788943 B2 | US8806337 B2 | US8825468 B2 | US8825492 B1 | USRE45132 E | US8888598 B2 | US8898325 B2 | US20140310036 A1 | US8924308 B1 | US8954368 B2 | US9005027 B2 | US9043245 B2 | US9075901 B2 | US9104962 B2 | US9122984 B2 | US20150193805 A1 | US9211077 B2 | US9223469 B2 | US20140364239 A1 | US9310613 B2 | US20150231502 A1 | US9384442 B2 | US9403088 B2 | US9418368 B2 | US9495684 B2 | US9529423 B2 | US20150105129 A1 | US8473441 B2 | US8352267 B2 | US8356004 B2 | US8360866 B2 | US8360867 B2 | US20120289316 A1 | US8600779 B2 | US8601379 B2 | US8606634 B2 | US8615479 B2 | US8626863 B2 | US8527334 B2 | US8657686 B2 | US8661073 B2 | US8635538 B2 | US8688611 B2 | US8719077 B2 | US8726195 B2 | US8694585 B2 | US20140011576 A1 | US20130038601 A1 | US20140059453 A1 | US20140160149 A1 | US20100331084 A1 | US20110029681 A1 | US20110112662 A1 | US8010474 B1 | US20110250575 A1 | US8055656 B2 | US8069125 B2 | US20120018528 A1 | US8131740 B2 | US8150796 B2 | US8195593 B2 | US8214515 B2 | US20120172132 A1 | US20120188256 A1 | US20090091565 A1 | US20090094106 A1 | US20090094225 A1 | US20090099836 A1 | US20090100035 A1 | US20090106145 A1 | US20090132361 A1 | US20090156907 A1 | US20090156955 A1 | US20090157323 A1 | US20090157481 A1 | US20090157482 A1 | US20090157625 A1 | US20090157660 A1 | US20090157751 A1 | US20090157813 A1 | US20090163777 A1 | US20090164131 A1 | US20090164132 A1 | US20090164302 A1 | US20090164401 A1 | US20090164403 A1 | US20090164458 A1 | US20090164503 A1 | US20090164549 A1 | US20090167766 A1 | US20090171164 A1 | US20090172540 A1 | US20090177976 A1 | US20090192891 A1 | US20090210301 A1 | US20090253475 A1 | US20090275414 A1 | WO2009133531 A2 | US20090300513 A1 | US20100005007 A1 | US20100035686 A1 | US20100050088 A1 | US20100095225 A1 | US20100106782 A1 | WO2009133531 A3 | US20100146407 A1 | US20100146408 A1 | US20100153868 A1 | US20100153869 A1 | US20100227682 A1 | US20100227688 A1 | US20100229106 A1 | US20100229107 A1 | US20100251337 A1 | US7824253 B2 | US20100293473 A1 | US20080059570 A1 | US20070260984 A1 | US20080109765 A1 | US20080139317 A1 | US20080208684 A1 | WO2008049237 A1 | US20080220873 A1 | US20080220876 A1 | US20080281597 A1 | US20080287192 A1 | US20080287193 A1 | US20080287194 A1</t>
  </si>
  <si>
    <t>2007-09-20</t>
  </si>
  <si>
    <t>2010-08-17</t>
  </si>
  <si>
    <t>2005-10-14</t>
  </si>
  <si>
    <t>2007-03-30</t>
  </si>
  <si>
    <t>Virtual environments in which player avatars can be altered based on events that occur in a video game metaverse or virtual environment. One event is the failure to fulfill an obligation in a virtual contract. Avatars who fail to fulfill such obligations may have their appearance voice or smell altered or may be followed by one or more non player character avatars.</t>
  </si>
  <si>
    <t>Event-driven alteration of avatars</t>
  </si>
  <si>
    <t>US11/694648</t>
  </si>
  <si>
    <t>RONALD LANEAU</t>
  </si>
  <si>
    <t xml:space="preserve">A method comprising: 
providing a metaverse wherein players interact with each other and a virtual environment via characters that are physically represented by avatars; 
creating a binding agreement between a player and another entity in the metaverse wherein the player agrees to undertake an obligation and receive a penalty in return for failure to meet the obligation; and 
altering an avatar based on the player's fulfillment or failure to fulfill an obligation. 
</t>
  </si>
  <si>
    <t>1. A method comprising: 
providing a metaverse wherein players interact with each other and a virtual environment via characters that are physically represented by avatars; 
creating a binding agreement between a player and another entity in the metaverse wherein the player agrees to undertake an obligation and receive a penalty in return for failure to meet the obligation; and 
altering an avatar based on the player's fulfillment or failure to fulfill an obligation. 
2. The method of claim 1 wherein the alteration is specified in the contract. 
3. The method of claim 2 wherein the alteration is a penalty for the player's failure to fulfill the obligation. 
4. The method of claim 2 wherein the alteration is a reward for the player's fulfillment of the obligation. 
5. The method of claim 1 further comprising: 
receiving a request from the other entity to alter the player's avatar due to the avatar's fulfillment or failure to fulfill an obligation. 
6. The method of claim 1 wherein the alteration is to the physical appearance of the avatar. 
7. The method of claim 1 wherein the alteration is to an audible quality of the avatar. 
8. The method of claim 7 wherein the avatar has an audible voice and the alteration is to the avatar's voice. 
9. The method of claim 1 wherein the avatar has a smell and the alteration is to the avatar's smell. 
10. The method of claim 1 wherein the alteration is the presence of another character that follows the avatar. 
11. The method of claim 10 wherein the other character is a non-player character. 
12. The method of claim 1 wherein the type of alteration is selected by the player. 
13. The method of claim 1 wherein the type of alteration is selected by the other entity. 
14. The method of claim 1 wherein the type of alteration is selected by a third party. 
15. The method of claim 14 wherein the third party is a virtual court. 
16. The method of claim 13 wherein the right to select the alteration can be transferred to another party. 
17. A method comprising: 
providing a metaverse in which players interact with each other and a virtual environment via characters that are physically represented by avatars, and wherein players can enter into binding contracts with each other, wherein the binding contracts specify obligations that must be met and penalties that can be inflicted for failure to meet the obligations; 
receiving an indication that an obligation of a contract has not been fulfilled; 
assigning the contract to a virtual bounty hunter; 
applying alterations to the avatars of the parties that have failed to fulfill their contractual obligations; and 
flagging the avatars as eligible to be hunted. 
18. The method of claim 17 further comprising: 
determining that the bounty hunter has found a flagged avatar; and 
rewarding the bounty hunter. 
19. The method of claim 18 further comprising unflagging the found avatar. 
20. The method of claim 18 further comprising restoring the found avatar to its pre-altered condition.</t>
  </si>
  <si>
    <t>US7775885 B2</t>
  </si>
  <si>
    <t>A63F0013100000 | A63F0013790000 | A63F0013120000 | A63F2300407000 | A63F2300555300 | A63F2300650000 | A63F2300808200 | G06N0003006000 | A63F0013335000 | A63F0013670000 | A63F0013822000</t>
  </si>
  <si>
    <t>US20070218987A1|US7775885B2</t>
  </si>
  <si>
    <t>I-000031145812</t>
  </si>
  <si>
    <t>Application expired due to grant (US7775885 B2)</t>
  </si>
  <si>
    <t>https://patentscout.innography.com/share/I39pbtII_T1anPhYDhk0mg%3D%3D</t>
  </si>
  <si>
    <t>2007-05-04-ASSIGNMENT (LEVIATHAN ENTERTAINMENT)|2014-01-06-FEE PAYMENT|2018-04-02-FEE PAYMENT PROCEDURE|2018-09-24-LAPSE FOR FAILURE TO PAY MAINTENANCE FEES|2018-09-24-INFORMATION ON STATUS: PATENT DISCONTINUATION|2018-10-16-EXPIRED DUE TO FAILURE TO PAY MAINTENANCE FEE</t>
  </si>
  <si>
    <t>https://patentscout.innography.com/share/I39pbtII_T1anPhYDhk0mg%3D%3D/download</t>
  </si>
  <si>
    <t>https://ppubs.uspto.gov/pubwebapp/external.html?q=20070218987.pn.</t>
  </si>
  <si>
    <t>US20070218987 A1</t>
  </si>
  <si>
    <t>103 | (not available) | CTNF
103 | US11/234847 | CTFR</t>
  </si>
  <si>
    <t>Intellectual Ventures Management, LLC</t>
  </si>
  <si>
    <t>2009-10-28</t>
  </si>
  <si>
    <t>2009-03-17</t>
  </si>
  <si>
    <t>1. A method comprising: 
providing a metaverse wherein players interact with each other and a virtual environment via characters that are physically represented by avatars; 
creating a binding agreement between a player and another entity in the metaverse wherein the player agrees to undertake an obligation and receive a penalty in return for failure to meet the obligation; and 
altering an avatar based on the player's fulfillment or failure to fulfill an obligation.</t>
  </si>
  <si>
    <t>17. A method comprising: 
providing a metaverse in which players interact with each other and a virtual environment via characters that are physically represented by avatars, and wherein players can enter into binding contracts with each other, wherein the binding contracts specify obligations that must be met and penalties that can be inflicted for failure to meet the obligations; 
receiving an indication that an obligation of a contract has not been fulfilled; 
assigning the contract to a virtual bounty hunter; 
applying alterations to the avatars of the parties that have failed to fulfill their contractual obligations; and 
flagging the avatars as eligible to be hunted.</t>
  </si>
  <si>
    <t>KR20010082389 A | KR102112846 B1 | KR102140583 B1 | KR20190141410 A | KR20210000078 A | KR20210093793 A | US20080012699 A1</t>
  </si>
  <si>
    <t>2021-08-23</t>
  </si>
  <si>
    <t>2041-08-23</t>
  </si>
  <si>
    <t>The present invention relates to a kiosk and a method for providing contents of the kiosk which increase user convenience and work efficiency in unmanned calculation and improve usability of the socially disadvantaged including a content management module for storing content information; A microphone that receives a user&amp;#39;s voice and generates a voice signal; a voice recognition module for converting the voice signal into voice data and recognizing voice contents; A camera that is set only with a designated shooting angle and magnification and generates a photographed image in which the whole body including the user&amp;#39;s face is photographed as photographing data; a touch screen that displays an image on the screen and generates an input signal corresponding to a touch position on the screen; An eye image is extracted from a photographed image of the photographed data a first position which is an extracted position is identified and an activity range of the eye image is set according to a prescribed value based on the first position and the eye image within the activity range is determined. An image analysis module for tracking the moving direction; A footswitch placed at a designated position at the bottom of the kiosk to generate and input an execution value so that a metaverse program displaying a virtual reality image composed of audio information is executed and to enable a user to step while taking a posture at a specific position; When the execution value is input the metaverse program is executed and corresponding virtual data is generated according to the input signal of the touch screen the voice content of the voice recognition module and the location information corresponding to the first location and the moving direction confirmed by the image analysis module. A metaverse module that displays real images and content information; It relays data communication between the content management module microphone voice recognition module camera touch screen image analysis module foot switch and metaverse module and executes a content guide program while the metaverse program is not running so that the touch screen It includes; a control module that displays 2D images and contents corresponding to input signals.</t>
  </si>
  <si>
    <t>Kiosk for enhance accessibility of social weal persons to support easy using and contents offering method of kiosk</t>
  </si>
  <si>
    <t>KR20210110702A</t>
  </si>
  <si>
    <t>Content management module for storing content information; A microphone that receives a user's voice and generates a voice signal; a voice recognition module for converting the voice signal into voice data and recognizing voice contents; A camera that is set only with a designated shooting angle and magnification and generates a photographed image in which the whole body including the user's face is photographed as photographing data; a touch screen that displays an image on the screen and generates an input signal corresponding to a touch position on the screen; An eye image is extracted from a photographed image of the photographed data, a first position, which is an extracted position, is grasped, an activity range, which is an effective section, is set according to a prescribed value based on the first position, and the eye image within the valid section is determined. An image analysis module that checks the movement of the user's head by tracking the direction of movement according to the position change; A footswitch placed at a designated position at the bottom of the kiosk to generate and input an execution value so that a metaverse program displaying a virtual reality image composed of audio information is executed, and to enable a user to step while taking a posture at a specific position; When the execution value generated through the operation of the foot switch is input, the metaverse program is executed, and the input signal of the touch screen, the voice content of the voice recognition module, and the movement of the first position and eye image confirmed by the image analysis module A metaverse module for displaying corresponding virtual reality images and content information according to location information corresponding to a direction; It relays data communication between the content management module, microphone, voice recognition module, camera, touch screen, image analysis module, foot switch, and metaverse module, and executes a content guide program while the metaverse program is not running so that the touch screen a control module that displays 2D images and contents corresponding to input signals; A settlement module that settles the cost of the content provided by the metaverse module or control module and processes payment; and the control module outputs a menu of content guide and order function as an image on the touch screen and is displayed by the user as an image. When the menu is touched, a visual mode in which the ordering procedure is executed, and a guide character image in the form of a 3D image and voice information are output through the execution of the metaverse module, and the ordering procedure is executed according to the user's voice recognized by the voice recognition module Configures the auditory mode as a guide method for the user's use of the kiosk, outputs an announcement for selecting the auditory mode, and activates the metaverse module when the execution value generated by the footswitch is input;The image analysis module checks a second position corresponding to the first position on the touch screen through a first position compared to the user's whole body image in the photographed image in which a predetermined range is photographed at a predetermined photographing angle and magnification; The height of the second position on the touch screen is determined by measuring the height of the user by measuring the length of the full-body image in the photographed image, by measuring the height of the first position in the full-body image to determine the user's eye level, the touch screen grasping a second position corresponding to the eye level within;The metaverse module reinforces and outputs the information layer on which the content under voice guidance is posted in the kiosk to the second position so as to face the user's eyes in the virtual reality image, and corresponds to the moving direction of the eye image confirmed by the image analysis module. Determining the rejection or purchase decision of the guide content according to the head movement of a user, and if the purchase decision is determined, the settlement module is activated while continuing the settlement information, and if the rejection is determined, the subsequent guidance is stopped; A kiosk with improved accessibility so that the socially underprivileged can use it easily.</t>
  </si>
  <si>
    <t>Content management module for storing content information; A microphone that receives a user's voice and generates a voice signal; a voice recognition module for converting the voice signal into voice data and recognizing voice contents; A camera that is set only with a designated shooting angle and magnification and generates a photographed image in which the whole body including the user's face is photographed as photographing data; a touch screen that displays an image on the screen and generates an input signal corresponding to a touch position on the screen; An eye image is extracted from a photographed image of the photographed data, a first position, which is an extracted position, is grasped, an activity range, which is an effective section, is set according to a prescribed value based on the first position, and the eye image within the valid section is determined. An image analysis module that checks the movement of the user's head by tracking the direction of movement according to the position change; A footswitch placed at a designated position at the bottom of the kiosk to generate and input an execution value so that a metaverse program displaying a virtual reality image composed of audio information is executed, and to enable a user to step while taking a posture at a specific position; When the execution value generated through the operation of the foot switch is input, the metaverse program is executed, and the input signal of the touch screen, the voice content of the voice recognition module, and the movement of the first position and eye image confirmed by the image analysis module A metaverse module for displaying corresponding virtual reality images and content information according to location information corresponding to a direction; It relays data communication between the content management module, microphone, voice recognition module, camera, touch screen, image analysis module, foot switch, and metaverse module, and executes a content guide program while the metaverse program is not running so that the touch screen a control module that displays 2D images and contents corresponding to input signals; A settlement module that settles the cost of the content provided by the metaverse module or control module and processes payment; and the control module outputs a menu of content guide and order function as an image on the touch screen and is displayed by the user as an image. When the menu is touched, a visual mode in which the ordering procedure is executed, and a guide character image in the form of a 3D image and voice information are output through the execution of the metaverse module, and the ordering procedure is executed according to the user's voice recognized by the voice recognition module Configures the auditory mode as a guide method for the user's use of the kiosk, outputs an announcement for selecting the auditory mode, and activates the metaverse module when the execution value generated by the footswitch is input;The image analysis module checks a second position corresponding to the first position on the touch screen through a first position compared to the user's whole body image in the photographed image in which a predetermined range is photographed at a predetermined photographing angle and magnification; The height of the second position on the touch screen is determined by measuring the height of the user by measuring the length of the full-body image in the photographed image, by measuring the height of the first position in the full-body image to determine the user's eye level, the touch screen grasping a second position corresponding to the eye level within;The metaverse module reinforces and outputs the information layer on which the content under voice guidance is posted in the kiosk to the second position so as to face the user's eyes in the virtual reality image, and corresponds to the moving direction of the eye image confirmed by the image analysis module. Determining the rejection or purchase decision of the guide content according to the head movement of a user, and if the purchase decision is determined, the settlement module is activated while continuing the settlement information, and if the rejection is determined, the subsequent guidance is stopped; A kiosk with improved accessibility so that the socially underprivileged can use it easily.
delete
delete
delete</t>
  </si>
  <si>
    <t>G06Q05010000 | G06F00301000 | G06F00303300 | G06F00304100 | G06F00316000 | G06K00900000 | G06T01900000 | G07F01740000 | G10L01522000 | H04N00522500 | H04R00108000</t>
  </si>
  <si>
    <t>KR102474399B1</t>
  </si>
  <si>
    <t>KR102474399 B1</t>
  </si>
  <si>
    <t>I-000233564379</t>
  </si>
  <si>
    <t>20 years from 2021-08-23 (file date)</t>
  </si>
  <si>
    <t>https://patentscout.innography.com/share/CHbPzCWhRz2vqgMmop8eHw%3D%3D</t>
  </si>
  <si>
    <t>2022-01-13-AMENDMENT|2022-04-06-AMENDMENT|2022-07-12-AMENDMENT|2022-08-30-AMENDMENT|2022-11-29-DECISION TO GRANT (AFTER RE-EXAMINATION)|2022-12-01-WRITTEN DECISION TO GRANT</t>
  </si>
  <si>
    <t>https://patentscout.innography.com/share/CHbPzCWhRz2vqgMmop8eHw%3D%3D/download</t>
  </si>
  <si>
    <t>https://v3.espacenet.com/publicationDetails/biblio?CC=KR&amp;NR=102474399B1&amp;KC=B1&amp;FT=D&amp;date=20221207&amp;DB=EPODOC&amp;locale=</t>
  </si>
  <si>
    <t>KR20102474399 B1</t>
  </si>
  <si>
    <t>1.  Content management module for storing content information; A microphone that receives a user's voice and generates a voice signal; a voice recognition module for converting the voice signal into voice data and recognizing voice contents; A camera that is set only with a designated shooting angle and magnification and generates a photographed image in which the whole body including the user's face is photographed as photographing data; a touch screen that displays an image on the screen and generates an input signal corresponding to a touch position on the screen; An eye image is extracted from a photographed image of the photographed data, a first position, which is an extracted position, is grasped, an activity range, which is an effective section, is set according to a prescribed value based on the first position, and the eye image within the valid section is determined. An image analysis module that checks the movement of the user's head by tracking the direction of movement according to the position change; A footswitch placed at a designated position at the bottom of the kiosk to generate and input an execution value so that a metaverse program displaying a virtual reality image composed of audio information is executed, and to enable a user to step while taking a posture at a specific position; When the execution value generated through the operation of the foot switch is input, the metaverse program is executed, and the input signal of the touch screen, the voice content of the voice recognition module, and the movement of the first position and eye image confirmed by the image analysis module A metaverse module for displaying corresponding virtual reality images and content information according to location information corresponding to a direction; It relays data communication between the content management module, microphone, voice recognition module, camera, touch screen, image analysis module, foot switch, and metaverse module, and executes a content guide program while the metaverse program is not running so that the touch screen a control module that displays 2D images and contents corresponding to input signals; A settlement module that settles the cost of the content provided by the metaverse module or control module and processes payment; and the control module outputs a menu of content guide and order function as an image on the touch screen and is displayed by the user as an image. When the menu is touched, a visual mode in which the ordering procedure is executed, and a guide character image in the form of a 3D image and voice information are output through the execution of the metaverse module, and the ordering procedure is executed according to the user's voice recognized by the voice recognition module Configures the auditory mode as a guide method for the user's use of the kiosk, outputs an announcement for selecting the auditory mode, and activates the metaverse module when the execution value generated by the footswitch is input;The image analysis module checks a second position corresponding to the first position on the touch screen through a first position compared to the user's whole body image in the photographed image in which a predetermined range is photographed at a predetermined photographing angle and magnification; The height of the second position on the touch screen is determined by measuring the height of the user by measuring the length of the full-body image in the photographed image, by measuring the height of the first position in the full-body image to determine the user's eye level, the touch screen grasping a second position corresponding to the eye level within;The metaverse module reinforces and outputs the information layer on which the content under voice guidance is posted in the kiosk to the second position so as to face the user's eyes in the virtual reality image, and corresponds to the moving direction of the eye image confirmed by the image analysis module. Determining the rejection or purchase decision of the guide content according to the head movement of a user, and if the purchase decision is determined, the settlement module is activated while continuing the settlement information, and if the rejection is determined, the subsequent guidance is stopped; A kiosk with improved accessibility so that the socially underprivileged can use it easily.</t>
  </si>
  <si>
    <t>US7895337 B2 | US20070055657 A1 | US7446892 B1 | US20100332998 A1 | US20100332980 A1 | US20090106347 A1 | US20090172557 A1 | US20090116755 A1 | US20020052872 A1 | US20110231434 A1 | US6014668 A | US20030177195 A1 | US20090083624 A1 | US20100332997 A1 | US20050109828 A1 | US6119147 A | US6442587 B1 | US6298374 B1 | US20050086612 A1 | US20070203817 A1 | US20070211047 A1 | US20070268299 A1 | US20090089439 A1 | US20090100352 A1 | US20090276718 A1</t>
  </si>
  <si>
    <t>US10748537 B2 | US20190027143 A1 | US11355117 B2 | US20120140270 A1 | US8804173 B2</t>
  </si>
  <si>
    <t>2011-09-22</t>
  </si>
  <si>
    <t>2010-03-17</t>
  </si>
  <si>
    <t>2011-03-04</t>
  </si>
  <si>
    <t>2016-12-06</t>
  </si>
  <si>
    <t>A management system includes a document management server that receives an electronic document or the like in a client connected to a network together with predetermined metadata a temporary storage document server that communicates with a briefcase provided in the Metaverse world and temporarily stores therein an electronic document or the like created or received in the Metaverse world together with predetermined metadata a transmission unit that transmits an electronic document or the like and metadata in the temporary storage document server to the document server and a transmission function of transmitting a Corresponding electronic document or the like to the client by searching metadata and/or electronic documents and the like as targets based on search bibliographic data transmitted from the client. The temporary storage document server includes a metadata acquisition unit that acquires predetermined metadata of a document when the document is temporarily stored in the client.</t>
  </si>
  <si>
    <t>Management system, management method, and temporary storage document server</t>
  </si>
  <si>
    <t>Ricoh Company, Limited</t>
  </si>
  <si>
    <t>Ricoh Company Ltd.</t>
  </si>
  <si>
    <t>Ricoh Company, Ltd. - Atsugi Plant</t>
  </si>
  <si>
    <t>US13/064079</t>
  </si>
  <si>
    <t>HUEN WONG</t>
  </si>
  <si>
    <t>2155: Data Bases &amp; File Management</t>
  </si>
  <si>
    <t xml:space="preserve">A management system comprising:
a document management server; and
a temporary storage document server that stores therein an electronic document created or received in a Metaverse, wherein
the document management server includes:
a document storage unit that stores therein an electronic document and metadata transmitted from a terminal device and the temporary storage document server in a correspondence manner; and
a first transmission unit that transmits the electronic document searched from the document storage unit based on a search key transmitted from the terminal device to the terminal device, and
the temporary storage document server includes:
a temporary storage unit that stores therein an electronic document created or received in the Metaverse and metadata in a correspondence manner; and
a second transmission unit that transmits the electronic document and metadata stored in the temporary storage unit to the document management server.
</t>
  </si>
  <si>
    <t>1. A management system comprising:
a document management server; and
a temporary storage document server that stores therein an electronic document created or received in a Metaverse, wherein
the document management server includes:
a document storage unit that stores therein an electronic document and metadata transmitted from a terminal device and the temporary storage document server in a correspondence manner; and
a first transmission unit that transmits the electronic document searched from the document storage unit based on a search key transmitted from the terminal device to the terminal device, and
the temporary storage document server includes:
a temporary storage unit that stores therein an electronic document created or received in the Metaverse and metadata in a correspondence manner; and
a second transmission unit that transmits the electronic document and metadata stored in the temporary storage unit to the document management server.
2. The management system according to claim 1, wherein
the document management server further includes a classification unit that classifies the electronic document into a specified classification item and stores the classified electronic document in the document storage unit.
3. The management system according to claim 2, wherein
the classification unit adds a classification item based on the metadata corresponding to the electronic document when the classification item is not specified, classifies the electronic document into the added classification item, and stores the classified electronic document in the document storage unit.
4. The management system according to claim 1, wherein
the temporary storage document server further includes a metadata acquisition unit that acquires metadata of an electronic document transmitted from the terminal device, and
the document storage unit stores therein the metadata acquired by the metadata acquisition unit and an electronic document received from the terminal device in a correspondence manner.
5. The management system according to claim 1, wherein
the document management server further includes a third transmission unit that transmits the electronic document stored in the document storage unit to a virtual storage unit included in the Metaverse.
6. The management system according to claim 5, wherein
the metadata includes identification information for identifying a Metaverse in which the electronic document has been created, and
the third transmission unit does not transmit the electronic document when the identification information included in the metadata corresponding to the electronic document and the identification information of the Metaverse including the virtual storage unit are not identical to each other.
7. A management method that is executed in a management system including a document management server, and a temporary storage document server that stores therein an electronic document created or received in a Metaverse, the method comprising:
a document storage process in which the document management server stores an electronic document and metadata transmitted from a terminal device and the temporary storage document server in a document storage unit in a correspondence manner;
a first transmission process in which the document management server transmits the electronic document searched from the document storage unit based on a search key transmitted from the terminal device to the terminal device;
a temporary storage process in which the temporary storage document server stores an electronic document created or received in the Metaverse and metadata in a temporary storage unit in a correspondence manner; and
a second transmission process in which the temporary storage document server transmits the electronic document and metadata stored in the temporary storage unit to the document management server.
8. A temporary storage document server in a management system comprising
a document management server; and
the temporary storage document server that stores therein an electronic document created or received in a Metaverse, wherein
the document management server includes:
a document storage unit that stores therein an electronic document and metadata transmitted from a terminal device and the temporary storage document server in a correspondence manner; and
a first transmission unit that transmits the electronic document searched from the document storage unit based on a search key transmitted from the terminal device to the terminal device, and
the temporary storage document server includes:
a temporary storage unit that stores therein an electronic document created or received in the Metaverse and metadata in a correspondence manner; and
a second transmission unit that transmits the electronic document and metadata stored in the temporary storage unit to the document management server.</t>
  </si>
  <si>
    <t>Tabata, Yasuhiro|Yano, Takashi|Kaji, Katsuyuki|Nozaki, Kenta</t>
  </si>
  <si>
    <t>G06F01730000</t>
  </si>
  <si>
    <t>707E17014|707769000</t>
  </si>
  <si>
    <t>US20110231433A1|JP2011217352A|JP5703748B2</t>
  </si>
  <si>
    <t>US20110231433 A1 | JP2011217352 A | JP5703748 B2</t>
  </si>
  <si>
    <t>I-000099731421</t>
  </si>
  <si>
    <t>https://patentscout.innography.com/share/tu-OGO-Wr1bwWNBFQlKYWg%3D%3D</t>
  </si>
  <si>
    <t>2011-03-01-ASSIGNMENT (RICOH COMPANY, LIMITED)|2016-12-06-INFORMATION ON STATUS: APPLICATION DISCONTINUATION</t>
  </si>
  <si>
    <t>https://patentscout.innography.com/share/tu-OGO-Wr1bwWNBFQlKYWg%3D%3D/download</t>
  </si>
  <si>
    <t>https://ppubs.uspto.gov/pubwebapp/external.html?q=20110231433.pn.</t>
  </si>
  <si>
    <t>US20110231433 A1</t>
  </si>
  <si>
    <t>103 | US08/441024 | CTFR
103 | US09/977306 | CTNF
103 | US09/977306 | CTNF
103 | US09/977306 | CTNF
103 | US09/977306 | CTFR
103 | US09/977306 | CTFR
103 | US09/977306 | CTFR
103 | US10/344080 | CTNF
103 | US10/344080 | CTNF
103 | US10/344080 | CTFR
103 | US10/344080 | CTFR
103 | US10/722273 | CTNF
103 | US10/722273 | CTFR
103 | US10/722273 | CTFR
103 | US10/904668 | CTNF
103 | US10/904668 | CTNF
103 | US10/904668 | CTNF
103 | US10/904668 | CTFR
103 | US10/904668 | CTFR
103 | US10/904668 | CTFR
103 | US11/372327 | CTNF
103 | US11/372327 | CTFR
103 | US12/492533 | CTNF
103 | US12/492533 | CTNF
103 | US12/492533 | CTNF
103 | US12/492533 | CTFR
103 | US12/492533 | CTFR
103 | US12/492533 | CTFR</t>
  </si>
  <si>
    <t>112 | (N/A) | CTNF
112 | (N/A) | CTFR
112 | (N/A) | CTFR</t>
  </si>
  <si>
    <t>Fujitsu Limited
FUJIFILM Holdings Corp
FUJIFILM Holdings Corp
FUJIFILM Holdings Corp
FUJIFILM Holdings Corp
FUJIFILM Holdings Corp
FUJIFILM Holdings Corp
Kyungsook Han
Kyungsook Han
Kyungsook Han
Kyungsook Han
Columbus Research, Inc.
Columbus Research, Inc.
Columbus Research, Inc.
Ameriprise Financial, Inc.
Ameriprise Financial, Inc.
Ameriprise Financial, Inc.
Ameriprise Financial, Inc.
Ameriprise Financial, Inc.
Ameriprise Financial, Inc.
Microsoft Corporation
Microsoft Corporation
Xerox Corporation
Xerox Corporation
Xerox Corporation
Xerox Corporation
Xerox Corporation
Xerox Corporation</t>
  </si>
  <si>
    <t>2015-08-28</t>
  </si>
  <si>
    <t>2015-01-06</t>
  </si>
  <si>
    <t>Harness, Dickey &amp; Pierce P.L.C.</t>
  </si>
  <si>
    <t>1. A management system comprising:
a document management server; and
a temporary storage document server that stores therein an electronic document created or received in a Metaverse, wherein
the document management server includes:
a document storage unit that stores therein an electronic document and metadata transmitted from a terminal device and the temporary storage document server in a correspondence manner; and
a first transmission unit that transmits the electronic document searched from the document storage unit based on a search key transmitted from the terminal device to the terminal device, and
the temporary storage document server includes:
a temporary storage unit that stores therein an electronic document created or received in the Metaverse and metadata in a correspondence manner; and
a second transmission unit that transmits the electronic document and metadata stored in the temporary storage unit to the document management server.</t>
  </si>
  <si>
    <t>7. A management method that is executed in a management system including a document management server, and a temporary storage document server that stores therein an electronic document created or received in a Metaverse, the method comprising:
a document storage process in which the document management server stores an electronic document and metadata transmitted from a terminal device and the temporary storage document server in a document storage unit in a correspondence manner;
a first transmission process in which the document management server transmits the electronic document searched from the document storage unit based on a search key transmitted from the terminal device to the terminal device;
a temporary storage process in which the temporary storage document server stores an electronic document created or received in the Metaverse and metadata in a temporary storage unit in a correspondence manner; and
a second transmission process in which the temporary storage document server transmits the electronic document and metadata stored in the temporary storage unit to the document management server.</t>
  </si>
  <si>
    <t>8. A temporary storage document server in a management system comprising
a document management server; and
the temporary storage document server that stores therein an electronic document created or received in a Metaverse, wherein
the document management server includes:
a document storage unit that stores therein an electronic document and metadata transmitted from a terminal device and the temporary storage document server in a correspondence manner; and
a first transmission unit that transmits the electronic document searched from the document storage unit based on a search key transmitted from the terminal device to the terminal device, and
the temporary storage document server includes:
a temporary storage unit that stores therein an electronic document created or received in the Metaverse and metadata in a correspondence manner; and
a second transmission unit that transmits the electronic document and metadata stored in the temporary storage unit to the document management server.</t>
  </si>
  <si>
    <t>JP2003316788 A | JP2006195636 A | JP2009217387 A</t>
  </si>
  <si>
    <t>2011-10-27</t>
  </si>
  <si>
    <t>2015-04-22</t>
  </si>
  <si>
    <t>2010-12-27</t>
  </si>
  <si>
    <t>The present invention centrally manages electronic documents and the like that can exist across a plurality of worlds.  A document management server for receiving an electronic document or the like existing on a client connected on a network together with predetermined metadata and an electronic bag provided in the metaverse world can be communicated with information and is created in the metaverse world. Alternatively a temporary storage document server that temporarily stores received electronic documents together with predetermined metadata a transmission unit that transmits electronic documents and metadata existing in the temporary storage document server to the document server and a client. If the document has a transmission function that sends metadata and / or electronic documents etc. to the client side as search targets based on the retrieved bibliographic data The temporary storage document server has metadata acquisition means for acquiring predetermined metadata.  [Selection] Figure 1</t>
  </si>
  <si>
    <t>Ricoh Co Ltd</t>
  </si>
  <si>
    <t>JP2010289253A</t>
  </si>
  <si>
    <t>A management system comprising a document management server and a temporary storage document server for storing electronic documents created or received in the metaverse,  The document management server  Document storage means for storing the electronic document and metadata transmitted from the terminal device and the temporary storage document server in association with each other;  First transmission means for transmitting the electronic document searched from the document storage means to the terminal device based on a search key transmitted from the terminal device;  The temporary storage document server includes:  Temporary storage means for storing the electronic document and metadata created or received in the metaverse in association with each other;  Second transmission means for transmitting the electronic document and metadata stored in the temporary storage means to the document management server;  A management system comprising:
The document management server  Classifying means for classifying the electronic document into designated classification items and storing it in the document storage means,  The management system according to claim 1.
When the classification item is not designated, the classification unit assigns a classification item based on the metadata associated with the electronic document, classifies the assigned classification item, and stores the classification item in the document storage unit. ,  The management system according to claim 2.
The temporary storage document server includes:  Further comprising metadata acquisition means for acquiring metadata of the electronic document transmitted from the terminal device;  The document storage means stores the metadata acquired by the metadata acquisition means in association with the electronic document received from the terminal device;  The management system according to claim 1.
The document management server  Further comprising third transmission means for transmitting the electronic document stored in the document storage means to a virtual storage means provided in the metaverse.  The management system according to claim 1.
The metadata includes identification information that identifies a metaverse that created the electronic document,  The third transmission unit does not transmit the electronic document when the identification information included in the metadata corresponding to the electronic document does not match the identification information of the metaverse provided with the virtual storage unit. ,  The management system according to claim 5.
A management method executed in a management system comprising a document management server and a temporary storage document server for storing an electronic document created or received in the metaverse,  A document storage step in which the document management server stores the electronic document and metadata transmitted from the terminal device and the temporary storage document server in association with each other in the document storage unit;  A first transmission step in which the document management server transmits the electronic document searched from the document storage unit to the terminal device based on a search key transmitted from the terminal device;  A temporary storage step in which the temporary storage document server stores the electronic document created or received in the metaverse and the metadata in a temporary storage unit in association with each other;  A second transmission step in which the temporary storage document server transmits the electronic document and metadata stored in the temporary storage means to the document management server;  Management method including.
The temporary storage document server in a management system comprising a document management server and a temporary storage document server for storing an electronic document created or received in the metaverse,  The document management server  Document storage means for storing the electronic document and metadata transmitted from the terminal device and the temporary storage document server in association with each other;  First transmission means for transmitting the electronic document searched from the document storage means to the terminal device based on a search key transmitted from the terminal device;  The temporary storage document server includes:  Temporary storage means for storing the electronic document and metadata created or received in the metaverse in association with each other;  Second transmission means for transmitting the electronic document and metadata stored in the temporary storage means to the document management server;  A temporary storage document server.</t>
  </si>
  <si>
    <t>JP5703748 B2</t>
  </si>
  <si>
    <t>H04N00121000</t>
  </si>
  <si>
    <t>H04N00121000 | G06F01721000 | G06F01730000 | H04N00100000</t>
  </si>
  <si>
    <t>I-000101358809</t>
  </si>
  <si>
    <t>Application expired due to grant (JP5703748 B2)</t>
  </si>
  <si>
    <t>https://patentscout.innography.com/share/KAFlRLQ9cZMn5Yz6WScZSw%3D%3D</t>
  </si>
  <si>
    <t>2013-11-12-WRITTEN REQUEST FOR APPLICATION EXAMINATION|2014-10-28-REPORT ON RETRIEVAL|2014-11-05-NOTIFICATION OF REASONS FOR REFUSAL|2014-12-23-WRITTEN AMENDMENT|2015-01-16-DECISION OF GRANT OR REJECTION WRITTEN|2015-01-28-WRITTEN DECISION TO GRANT A PATENT OR TO GRANT A REGISTRATION (UTILITY MODEL)|2015-03-02-FIRST PAYMENT OF ANNUAL FEES (DURING GRANT PROCEDURE)|2015-03-06-WRITTEN NOTIFICATION OF PATENT OR UTILITY MODEL REGISTRATION</t>
  </si>
  <si>
    <t>https://patentscout.innography.com/share/KAFlRLQ9cZMn5Yz6WScZSw%3D%3D/download</t>
  </si>
  <si>
    <t>https://v3.espacenet.com/publicationDetails/biblio?CC=JP&amp;NR=2011217352A&amp;KC=A&amp;FT=D&amp;date=20111027&amp;DB=EPODOC&amp;locale=</t>
  </si>
  <si>
    <t>Sakai International Patent Office  特許業務法人酒井国際特許事務所</t>
  </si>
  <si>
    <t>酒井  宏明</t>
  </si>
  <si>
    <t>1. A management system comprising a document management server and a temporary storage document server for storing electronic documents created or received in the metaverse,  The document management server  Document storage means for storing the electronic document and metadata transmitted from the terminal device and the temporary storage document server in association with each other;  First transmission means for transmitting the electronic document searched from the document storage means to the terminal device based on a search key transmitted from the terminal device;  The temporary storage document server includes:  Temporary storage means for storing the electronic document and metadata created or received in the metaverse in association with each other;  Second transmission means for transmitting the electronic document and metadata stored in the temporary storage means to the document management server;  A management system comprising:</t>
  </si>
  <si>
    <t>7. A management method executed in a management system comprising a document management server and a temporary storage document server for storing an electronic document created or received in the metaverse,  A document storage step in which the document management server stores the electronic document and metadata transmitted from the terminal device and the temporary storage document server in association with each other in the document storage unit;  A first transmission step in which the document management server transmits the electronic document searched from the document storage unit to the terminal device based on a search key transmitted from the terminal device;  A temporary storage step in which the temporary storage document server stores the electronic document created or received in the metaverse and the metadata in a temporary storage unit in association with each other;  A second transmission step in which the temporary storage document server transmits the electronic document and metadata stored in the temporary storage means to the document management server;  Management method including.</t>
  </si>
  <si>
    <t>8. The temporary storage document server in a management system comprising a document management server and a temporary storage document server for storing an electronic document created or received in the metaverse,  The document management server  Document storage means for storing the electronic document and metadata transmitted from the terminal device and the temporary storage document server in association with each other;  First transmission means for transmitting the electronic document searched from the document storage means to the terminal device based on a search key transmitted from the terminal device;  The temporary storage document server includes:  Temporary storage means for storing the electronic document and metadata created or received in the metaverse in association with each other;  Second transmission means for transmitting the electronic document and metadata stored in the temporary storage means to the document management server;  A temporary storage document server.</t>
  </si>
  <si>
    <t>2030-12-27</t>
  </si>
  <si>
    <t>To centrally manage electronic documents etc. that may be present across the [issue] multiple world. A document management server 32 to receive with predetermined metadata and electronic document exists on the client that is connected to the [SOLUTION] network and information can communicate with the electronic bag provided in the metaverse world it is created metaverse world or transmitting means for transmitting to the document server and the metadata stored document server an electronic document or the like existing in the stored document transient server temporary temporary storage with predetermined metadata and electronic documents received and sent from the client If it has a transmission function to be sent to the client-side electronic document or the like applicable as a search for electronic documents such as metadata and / or on the basis of the search bibliographic data have to store documents temporarily in the client the document Storage document server has temporarily metadata acquisition means for acquiring the metadata of interest. [Selection] Figure Figure 1</t>
  </si>
  <si>
    <t>A management system comprising a real-world document management server and a real-world temporary storage document server for storing electronic documents created or received in the metaverse,  The document management server  Document storage means for storing an electronic document and metadata transmitted from a real-world terminal device and the temporary storage document server in association with each other;  First transmission means for transmitting the electronic document searched from the document storage means to the terminal device based on a search key transmitted from the terminal device;  The temporary storage document server includes:  Temporary storage means for storing the electronic document and metadata created or received in the metaverse in association with each other;  Second transmission means for transmitting the electronic document and metadata stored in the temporary storage means to the document management server;  Management system comprising.
The document management server  Classifying means for classifying the electronic document into designated classification items and storing it in the document storage means,  The management system according to claim 1.
When the classification item is not designated, the classification unit assigns a classification item based on the metadata associated with the electronic document, classifies the assigned classification item, and stores the classification item in the document storage unit. ,  The management system according to claim 2.
The temporary storage document server includes:  Further comprising metadata acquisition means for acquiring metadata of the electronic document transmitted from the terminal device;  The document storage means stores the metadata acquired by the metadata acquisition means in association with the electronic document received from the terminal device;  The management system according to claim 1.
The document management server  Further comprising third transmission means for transmitting the electronic document stored in the document storage means to the temporary storage document server ;  The management system according to claim 1.
The metadata includes identification information that identifies a metaverse that created the electronic document,  The third transmission unit does not transmit the electronic document when the identification information included in the metadata corresponding to the electronic document does not match the identification information of the metaverse corresponding to the temporary storage document server. ,  The management system according to claim 5.
A management method executed by a management system including a real-world document management server and a real-world temporary storage document server that stores an electronic document created or received in the metaverse,  A document storage step in which the document management server stores the electronic document and metadata transmitted from the real-world terminal device and the temporary storage document server in association with each other in the document storage unit;  A first transmission step in which the document management server transmits the electronic document searched from the document storage unit to the terminal device based on a search key transmitted from the terminal device;  A temporary storage step in which the temporary storage document server stores the electronic document created or received in the metaverse and the metadata in a temporary storage unit in association with each other;  A second transmission step in which the temporary storage document server transmits the electronic document and metadata stored in the temporary storage means to the document management server;  Management method including.
The temporary storage document server in a management system comprising a real world document management server and a real world temporary storage document server for storing electronic documents created or received in the metaverse,  The document management server  Document storage means for storing an electronic document and metadata transmitted from a real-world terminal device and the temporary storage document server in association with each other;  First transmission means for transmitting the electronic document searched from the document storage means to the terminal device based on a search key transmitted from the terminal device;  The temporary storage document server includes:  Temporary storage means for storing the electronic document and metadata created or received in the metaverse in association with each other;  Second transmission means for transmitting the electronic document and metadata stored in the temporary storage means to the document management server;  A temporary storage document server.</t>
  </si>
  <si>
    <t>H04N00121000 | G06F01730000 | H04N00100000</t>
  </si>
  <si>
    <t>$23621</t>
  </si>
  <si>
    <t>20 years from 2010-12-27 (file date)</t>
  </si>
  <si>
    <t>https://patentscout.innography.com/share/0XyobuhmNflf42gRn4MmeQ%3D%3D</t>
  </si>
  <si>
    <t>https://patentscout.innography.com/share/0XyobuhmNflf42gRn4MmeQ%3D%3D/download</t>
  </si>
  <si>
    <t>https://v3.espacenet.com/publicationDetails/biblio?CC=JP&amp;NR=5703748B2&amp;KC=B2&amp;FT=D&amp;date=20150422&amp;DB=EPODOC&amp;locale=</t>
  </si>
  <si>
    <t>1. A management system comprising a real-world document management server and a real-world temporary storage document server for storing electronic documents created or received in the metaverse,  The document management server  Document storage means for storing an electronic document and metadata transmitted from a real-world terminal device and the temporary storage document server in association with each other;  First transmission means for transmitting the electronic document searched from the document storage means to the terminal device based on a search key transmitted from the terminal device;  The temporary storage document server includes:  Temporary storage means for storing the electronic document and metadata created or received in the metaverse in association with each other;  Second transmission means for transmitting the electronic document and metadata stored in the temporary storage means to the document management server;  Management system comprising.</t>
  </si>
  <si>
    <t>7. A management method executed by a management system including a real-world document management server and a real-world temporary storage document server that stores an electronic document created or received in the metaverse,  A document storage step in which the document management server stores the electronic document and metadata transmitted from the real-world terminal device and the temporary storage document server in association with each other in the document storage unit;  A first transmission step in which the document management server transmits the electronic document searched from the document storage unit to the terminal device based on a search key transmitted from the terminal device;  A temporary storage step in which the temporary storage document server stores the electronic document created or received in the metaverse and the metadata in a temporary storage unit in association with each other;  A second transmission step in which the temporary storage document server transmits the electronic document and metadata stored in the temporary storage means to the document management server;  Management method including.</t>
  </si>
  <si>
    <t>8. The temporary storage document server in a management system comprising a real world document management server and a real world temporary storage document server for storing electronic documents created or received in the metaverse,  The document management server  Document storage means for storing an electronic document and metadata transmitted from a real-world terminal device and the temporary storage document server in association with each other;  First transmission means for transmitting the electronic document searched from the document storage means to the terminal device based on a search key transmitted from the terminal device;  The temporary storage document server includes:  Temporary storage means for storing the electronic document and metadata created or received in the metaverse in association with each other;  Second transmission means for transmitting the electronic document and metadata stored in the temporary storage means to the document management server;  A temporary storage document server.</t>
  </si>
  <si>
    <t>US9640030 B2 | US9697677 B2 | US9972167 B2 | US10037648 B2 | US10229554 B2 | US10354487 B2 | WO2019246341 A1 | US10593151 B2 | US10657758 B2 | US10832518 B2 | US10909803 B2 | US10997820 B2 | US11183011 B2 | US11373200 B2 | US11373477 B2 | US11482068 B2 | US8632400 B2 | US9087431 B2 | US9224260 B2 | US9367991 B2 | US9430898 B2 | US9472052 B2</t>
  </si>
  <si>
    <t>2008-10-30</t>
  </si>
  <si>
    <t>2007-04-16</t>
  </si>
  <si>
    <t>2009-10-16</t>
  </si>
  <si>
    <t>US2007066694W</t>
  </si>
  <si>
    <t>A method comprising: providing a metaverse wherein players interact with each other and a virtual environment via characters that are physically represented by avatars; creating a binding agreement between a player and another entity in the metaverse wherein the player agrees to undertake an obligation and receive a penalty in return for failure to meet the obligation; and altering an avatar based on the player's fulfillment or failure to fulfill an obligation.</t>
  </si>
  <si>
    <t>1. A method comprising: providing a metaverse wherein players interact with each other and a virtual environment via characters that are physically represented by avatars; creating a binding agreement between a player and another entity in the metaverse wherein the player agrees to undertake an obligation and receive a penalty in return for failure to meet the obligation; and altering an avatar based on the player's fulfillment or failure to fulfill an obligation.
2. The method of claim 1 wherein the alteration is specified in the contract.
3. The method of claim 2 wherein the alteration is a penalty for the player's failure to fulfill the obligation.
4. The method of claim 2 wherein the alteration is a reward for the player's fulfillment of the obligation.
5. The method of claim 1 further comprising: receiving a request from the other entity to alter the player's avatar due to the avatar's fulfillment or failure to fulfill an obligation.
6. The method of claim 1 wherein the alteration is to the physical appearance of the avatar.
7. The method of claim 1 wherein the alteration is to an audible quality of the avatar.
8. The method of claim 7 wherein the avatar has an audible voice and the alteration is to the avatar's voice.
9. The method of claim 1 wherein the avatar has a smell and the alteration is to the avatar's smell.
10. The method of claim 1 wherein the alteration is the presence of another character that follows the avatar.
11. The method of claim 10 wherein the other character is a non-player character.
12. The method of claim 1 wherein the type of alteration is selected by the player.
13. The method of claim 1 wherein the type of alteration is selected by the other entity.
14. The method of claim 1 wherein the type of alteration is selected by a third party.  
15. The method of claim 14 wherein the third party is a virtual court.
16. The method of claim 13 wherein the right to select the alteration can be transferred to another party.
17. A method comprising : providing a metaverse in which players interact with each other and a virtual environment via characters that are physically represented by avatars, and wherein players can enter into binding contracts with each other, wherein the binding contracts specify obligations that must be met and penalties that can be inflicted for failure to meet the obligations; receiving an indication that an obligation of a contract has not been fulfilled; assigning the contract to a virtual bounty hunter; applying alterations to the avatars of the parties that have failed to fulfill their contractual obligations; and flagging the avatars as eligible to be hunted.
18. The method of claim 17 further comprising : determining that the bounty hunter has found a flagged avatar; and rewarding the bounty hunter.
19. The method of claim 18 further comprising unflagging the found avatar.
20. The method of claim 18 further comprising restoring the found avatar to its pre- altered condition.
21. A method comprising : providing a virtual environment wherein players can interact with each other and the environment via avatars; providing a mechanism whereby players can incur debts through financial transactions in the virtual environment; determining if a player has defaulted on a debt incurred in the virtual environment; providing a collections process whereby the player is forced to suffer a consequence until the debt is repayed.
22. The method of claim 21 wherein the consequence is alteration of the physical appearance of the player's avatar.  
23. The method of claim 22 wherein the alteration is an image attached to the avatar.
24. The method of claim 23 wherein the image is a ball and chain.
25. The method of claim 23 wherein the image includes indicia that provides information to other players regarding the current credit worthiness of the player whose avatar has been altered.
26. The method of claim 23 wherein the image is hyperlinked to the player's financial information such that other players can click on the hyperlink and determine financial information about the player.
27. The method of claim 21 wherein the consequence is banishment from one or more areas in the virtual environment.
28. The method of claim 21 further comprising allowing a virtual collections agency to mete out the consequence.
29. The method of claim 28 further comprising receiving bids from a plurality of virtual collections agencies for the right to repay some or all of the debt in return for the right to mete out the consequence to the player.
30. A virtual environment comprising: a virtual economy wherein players are allowed to incur debt as a result of transactions within the virtual environment; a module configured to track financial transactions conducted by players in the virtual economy and determine if a player has defaulted on a debt incurred as a result of a transaction in the virtual environment; a module configured to mete out a consequence to a player who has defaulted on a debt incurred as a result of a transaction in the virtual environment.
31. The environment of claim 30 wherein the consequence is alteration of the physical appearance of the player's avatar.
32. The method of claim 31 wherein the alteration is an image attached to the avatar.
33. The method of claim 32 wherein the image is a ball and chain.
34. The method of claim 32 wherein the image includes indicia that provides information to other players regarding the current credit worthiness of the player whose avatar has been altered.  
35. The method of claim 32 wherein the image is hyperlinked to the player's financial information such that other players can click on the hyperlink and determine financial information about the player.
36. The method of claim 30 wherein the consequence is banishment from one or more areas in the virtual environment.
37. A virtual environment comprising: a virtual economy wherein players are allowed to incur obligations as a result of transactions within the virtual environment; a module configured to track financial transactions conducted by players in the virtual economy and determine if a player has defaulted on an obligation incurred as a result of a transaction in the virtual environment; a module configured to identify to players and entities in the environment information regarding players who have defaulted on an obligation incurred as a result of a transaction in the virtual environment.
38. The virtual environment of claim 37 further comprising an auction module configured to receive bids from virtual collections agencies for the right to take over the obligation and determine a winner based on the bids.
39. The virtual environment of claim 38 wherein the winning virtual collection agency is permitted to determine a consequence for the defaulting player.
40. The virtual environment of claim 38 wherein the consequence is selected from the group consisting of: banishment from one or more areas in the virtual environment; alteration of defaulting player's avatar; and harassment by a non player character.
41. A method comprising : providing a virtual environment accessible by a plurality of players, wherein the players are able to interact with the virtual environment and each other via avatars; receiving a text message from a first player; associating the text message with a synthetic voice message; outputting the synthetic voice message to a second player.
42. The method of claim 41 further comprising receiving a voice message from the first player and converting the voice message into a text message.  
43. The method of claim 41 wherein the synthetic voice message is a recording of a celebrity voice.
44. The method of claim 41 further comprising providing a plurality of synthetic voices.
45. The method of claim 44 further comprising receiving a synthetic voice selection from the first player.
46. The method of claim 45 wherein receiving a synthetic voice selection comprises receiving a fee from the first player in return for the ability of have the selected synthetic voice associated with text messages provided by the first player.
47. The method of claim 46 wherein the synthetic voice selection is for a limited period of time.
48. The method of claim 46 further comprising: receiving an offer from the first player of a fee in return for the ability of have the selected synthetic voice associated with text messages provided by the first player; receiving an offer from a second player of a fee in return for the ability of have the selected synthetic voice associated with text messages provided by the second player; and associating the synthetic voice with only one of the first and second players, based on the offers.
49. The method of claim 41 further comprising: recording game related messages in a plurality of different voices; and identifying each different voice as a different synthetic voice.
50. The method of claim 49 wherein at least one of the voices is a voice that is a celebrity voice.
51. A method comprising : providing a virtual environment accessible by a plurality of players, wherein the players are able to interact and play games with the virtual environment and each other via avatars; receiving a text message from a first player; displaying the text message in a game; storing the text message; outputting the text message in the form of a fixed media presentation.  
52. The method of claim 51 wherein the fixed media presentation is a literary work.
53. The method of claim 52 wherein the literary work is a comic book.
54. The method of claim 53 wherein the comic book contains screen capture images from the game.
55. The method of claim 51 wherein the fixed media presentation is a movie.
56. The method of claim 51 further comprising: associating the text message with a synthetic voice message; and outputting the synthetic voice message to a second player.
57. The method of claim 56 further comprising: receiving a voice message from the first player; and converting the voice message into a text message.
58. The method of claim 56 further comprising providing a plurality of synthetic voices.
59. The method of claim 58 further comprising receiving a synthetic voice selection from the first player.
60. The method of claim 59 wherein receiving a synthetic voice selection comprises receiving a fee from the first player in return for the ability of have the selected synthetic voice associated with text messages provided by the first player.</t>
  </si>
  <si>
    <t>Mueller, Ray J|Luchene, Andrew Van|Alderucci, Dean</t>
  </si>
  <si>
    <t>AE, AG, AL, AM, AT, AU, AZ, BA, BB, BG, BH, BR, BW, BY, BZ, CA, CH, CN, CO, CR, CU, CZ, DE, DK, DM, DZ, EC, EE, EG, ES, FI, GB, GD, GE, GH, GM, GT, HN, HR, HU, ID, IL, IN, IS, JP, KE, KG, KM, KN, KP, KR, KZ, LA, LC, LK, LR, LS, LT, LU, LY, MA, MD, ME, MG, MK, MN, MW, MX, MY, MZ, NA, NG, NI, NO, NZ, OM, PG, PH, PL, PT, RO, RS, RU, SC, SD, SE, SG, SK, SL, SM, SV, SY, TJ, TM, TN, TR, TT, TZ, UA, UG, US, UZ, VC, VN, ZA, ZM, ZW</t>
  </si>
  <si>
    <t>A63F0013120000 | A63F0013790000 | A63F2300555300 | A63F2300558600 | A63F2300807000 | G06N0003006000 | A63F0013750000 | A63F0013850000 | A63F0013870000 | H04L0067131000</t>
  </si>
  <si>
    <t>A63F01300000</t>
  </si>
  <si>
    <t>A63F01300000 | A63F00924000 | G06F01700000 | G06F01900000</t>
  </si>
  <si>
    <t>463FOR000</t>
  </si>
  <si>
    <t>WO2008130398A1</t>
  </si>
  <si>
    <t>WO2008130398 A1</t>
  </si>
  <si>
    <t>I-000072408626</t>
  </si>
  <si>
    <t>30 months from 2007-04-16 (priority date)</t>
  </si>
  <si>
    <t>https://patentscout.innography.com/share/mcPfyfdpz0ZNLEYS7nZdAg%3D%3D</t>
  </si>
  <si>
    <t>2008-12-17-EP: THE EPO HAS BEEN INFORMED BY WIPO THAT EP WAS DESIGNATED IN THIS APPLICATION|2009-10-17-NON-ENTRY INTO THE NATIONAL PHASE IN:|2010-05-19-EP: PCT  APP. NOT ENT. EUROP. PHASE</t>
  </si>
  <si>
    <t>https://patentscout.innography.com/share/mcPfyfdpz0ZNLEYS7nZdAg%3D%3D/download</t>
  </si>
  <si>
    <t>https://v3.espacenet.com/publicationDetails/biblio?CC=WO&amp;NR=2008130398A1&amp;KC=A1&amp;FT=D&amp;date=20081030&amp;DB=EPODOC&amp;locale=</t>
  </si>
  <si>
    <t>Ellen M. GONZALES</t>
  </si>
  <si>
    <t>1. A method comprising: providing a metaverse wherein players interact with each other and a virtual environment via characters that are physically represented by avatars; creating a binding agreement between a player and another entity in the metaverse wherein the player agrees to undertake an obligation and receive a penalty in return for failure to meet the obligation; and altering an avatar based on the player's fulfillment or failure to fulfill an obligation.</t>
  </si>
  <si>
    <t>17. A method comprising : providing a metaverse in which players interact with each other and a virtual environment via characters that are physically represented by avatars, and wherein players can enter into binding contracts with each other, wherein the binding contracts specify obligations that must be met and penalties that can be inflicted for failure to meet the obligations; receiving an indication that an obligation of a contract has not been fulfilled; assigning the contract to a virtual bounty hunter; applying alterations to the avatars of the parties that have failed to fulfill their contractual obligations; and flagging the avatars as eligible to be hunted.</t>
  </si>
  <si>
    <t>21. A method comprising : providing a virtual environment wherein players can interact with each other and the environment via avatars; providing a mechanism whereby players can incur debts through financial transactions in the virtual environment; determining if a player has defaulted on a debt incurred in the virtual environment; providing a collections process whereby the player is forced to suffer a consequence until the debt is repayed.</t>
  </si>
  <si>
    <t>30. A virtual environment comprising: a virtual economy wherein players are allowed to incur debt as a result of transactions within the virtual environment; a module configured to track financial transactions conducted by players in the virtual economy and determine if a player has defaulted on a debt incurred as a result of a transaction in the virtual environment; a module configured to mete out a consequence to a player who has defaulted on a debt incurred as a result of a transaction in the virtual environment.</t>
  </si>
  <si>
    <t>37. A virtual environment comprising: a virtual economy wherein players are allowed to incur obligations as a result of transactions within the virtual environment; a module configured to track financial transactions conducted by players in the virtual economy and determine if a player has defaulted on an obligation incurred as a result of a transaction in the virtual environment; a module configured to identify to players and entities in the environment information regarding players who have defaulted on an obligation incurred as a result of a transaction in the virtual environment.</t>
  </si>
  <si>
    <t>41. A method comprising : providing a virtual environment accessible by a plurality of players, wherein the players are able to interact with the virtual environment and each other via avatars; receiving a text message from a first player; associating the text message with a synthetic voice message; outputting the synthetic voice message to a second player.</t>
  </si>
  <si>
    <t>51. A method comprising : providing a virtual environment accessible by a plurality of players, wherein the players are able to interact and play games with the virtual environment and each other via avatars; receiving a text message from a first player; displaying the text message in a game; storing the text message; outputting the text message in the form of a fixed media presentation.</t>
  </si>
  <si>
    <t>CN108536289 A | US10891805 B2 | CN112885182 A</t>
  </si>
  <si>
    <t>2017-09-22</t>
  </si>
  <si>
    <t>2016-03-14</t>
  </si>
  <si>
    <t>2017-03-14</t>
  </si>
  <si>
    <t>2037-03-13</t>
  </si>
  <si>
    <t>2017-09-14</t>
  </si>
  <si>
    <t>A virtual reality system a control method and a non-transitory computer readable medium are provided. The control method for switching the virtual reality scene comprises the following operations: providing a first metaverse scene as a metaverse view to be displayed on a head-mounted display device; acquiring dynamic displacement of the head-mounted display device; comparing the dynamic displacement to a displacement threshold; in response to the dynamic displacement not reaching the displacement threshold providing a first metaverse scene in a first portion of the metaverse vision and a second metaverse scene in a second portion of the metaverse vision according to the dynamic displacement; in response to the dynamic displacement exceeding the displacement threshold a second metaverse scene is provided as a metaverse view to be displayed on the head-mounted display device. Through the control method the user can approximately preview other virtual reality scenes and can intuitively switch the virtual reality scenes.</t>
  </si>
  <si>
    <t>Virtual reality system, control method and non-transitory computer readable medium</t>
  </si>
  <si>
    <t>virtual reality system|virtual reality|reality system|dynamic displacement|reality|displacement threshold|head-mounted display device</t>
  </si>
  <si>
    <t>CN201710149831A</t>
  </si>
  <si>
    <t xml:space="preserve">A metaverse system, comprising:a head-mounted display device for displaying virtual reality vision;a processing device in communication with the head-mounted display device, the processing device configured to:providing a first virtual reality scene as the virtual reality vision to be displayed on the head-mounted display device;acquiring a dynamic displacement of the head-mounted display device;comparing the dynamic displacement to a displacement threshold;in response to the dynamic displacement not reaching the displacement threshold, providing a first metaverse scene in a first portion of the metaverse vision and a second metaverse scene in a second portion of the metaverse vision according to the dynamic displacement, wherein the first metaverse scene and the second metaverse scene correspond to different metaverse scene contexts; andin response to the dynamic displacement exceeding the displacement threshold, providing the second metaverse scene as the metaverse vision to be displayed on the head-mounted display device.
</t>
  </si>
  <si>
    <t>1. A metaverse system, comprising:a head-mounted display device for displaying virtual reality vision;a processing device in communication with the head-mounted display device, the processing device configured to:providing a first virtual reality scene as the virtual reality vision to be displayed on the head-mounted display device;acquiring a dynamic displacement of the head-mounted display device;comparing the dynamic displacement to a displacement threshold;in response to the dynamic displacement not reaching the displacement threshold, providing a first metaverse scene in a first portion of the metaverse vision and a second metaverse scene in a second portion of the metaverse vision according to the dynamic displacement, wherein the first metaverse scene and the second metaverse scene correspond to different metaverse scene contexts; andin response to the dynamic displacement exceeding the displacement threshold, providing the second metaverse scene as the metaverse vision to be displayed on the head-mounted display device.
2. The metaverse system of claim 1, wherein if the dynamic displacement does not meet the displacement threshold, a ratio associated with the second portion of the metaverse vision is positively correlated with the dynamic displacement.
3. The metaverse system of claim 1, wherein if the dynamic displacement is an upward vertical displacement and the dynamic displacement does not reach the displacement threshold, the first portion is located at a bottom of the metaverse vision and the second portion is located at a top of the metaverse vision.
4. The metaverse system of claim 1, wherein if the dynamic displacement is a downward vertical displacement and the dynamic displacement does not reach the displacement threshold, the first portion is located at a top of the metaverse vision and the second portion is located at a bottom of the metaverse vision.
5. The metaverse system of claim 1, wherein the second portion is located at a front end of the metaverse vision along a moving direction if the dynamic displacement is a horizontal displacement along the moving direction and the dynamic displacement does not reach the displacement threshold.
6. The metaverse system of claim 1, wherein the displacement threshold is a fixed value.
7. The metaverse system of claim 1, wherein the displacement threshold is an adjustable value according to at least one parameter, the at least one parameter corresponds to a user wearing the head-mounted display device, and the at least one parameter comprises a height, a weight, an age, or a gender.
8. The metaverse system of claim 1, wherein the dynamic displacement is detected by a motion sensor disposed on the head-mounted display device or a camera sensor disposed on the head-mounted display device.
9. The metaverse system of claim 1, wherein the metaverse system comprises a base station for generating an optical radiation, the head-mounted display device further comprises an array of optical sensors, and the dynamic displacement is detected by the array of optical sensors configured to dynamically displace.
10. The metaverse system of claim 1, wherein the metaverse system comprises a depth camera for capturing the dynamic displacement of the head-mounted display device.
11. A control method for a virtual reality system, the virtual reality system comprising a head-mounted display device for displaying virtual reality vision, the control method comprising:providing a first virtual reality scene as the virtual reality vision to be displayed on the head-mounted display device;acquiring a dynamic displacement of the head-mounted display device;comparing the dynamic displacement to a displacement threshold;in response to the dynamic displacement not reaching the displacement threshold, providing a first metaverse scene in a first portion of the metaverse vision and a second metaverse scene in a second portion of the metaverse vision according to the dynamic displacement, wherein the first metaverse scene and the second metaverse scene correspond to different metaverse scene contexts; andin response to the dynamic displacement exceeding the displacement threshold, providing the second metaverse scene as the metaverse vision to be displayed on the head-mounted display device.
12. The control method of claim 11, wherein before obtaining the dynamic displacement, the control method further comprises:displaying a marker region in the first metaverse scene; anddetecting whether a virtual position of the head-mounted display device in the first virtual reality scene is located in a mark area.
13. The control method of claim 12, wherein the dynamic displacement is obtained when the virtual location is within a marked area, and the dynamic displacement is ignored or is invalid when the virtual location is outside the marked area.
14. The control method of claim 11, wherein the control method further comprises:if the dynamic displacement does not reach the displacement threshold, continuously adjusting a ratio of the second portion related to the entire virtual reality vision, the ratio being positively correlated with the dynamic displacement.
15. The method of claim 11, wherein if the dynamic displacement is an upward vertical displacement and the dynamic displacement does not reach the displacement threshold, the first portion is located at a bottom of the metaverse vision and the second portion is located at a top of the metaverse vision.
16. The method of claim 11, wherein if the dynamic displacement is a downward vertical displacement and the dynamic displacement does not reach the displacement threshold, the first portion is located at a top of the metaverse vision and the second portion is located at a bottom of the metaverse vision.
17. The method of claim 11, wherein the second portion is located at a front end of the metaverse vision along a moving direction if the dynamic displacement is a horizontal displacement along the moving direction and the dynamic displacement does not reach the displacement threshold.
18. The method of claim 11, wherein before comparing the dynamic displacement to the displacement threshold, the method further comprises:acquiring at least one parameter of a user wearing the head-mounted display device, wherein the at least one parameter comprises height, weight, age or gender; andadjusting the displacement threshold according to the at least one parameter.
19. A non-transitory computer readable medium having a computer program to execute a control method, wherein the control method comprises:providing a first virtual reality scene as a virtual reality vision to be displayed on a head-mounted display device;acquiring a dynamic displacement of the head-mounted display device;comparing the dynamic displacement to a displacement threshold;in response to the dynamic displacement not reaching the displacement threshold, providing a first metaverse scene in a first portion of the metaverse vision and a second metaverse scene in a second portion of the metaverse vision according to the dynamic displacement, wherein the first metaverse scene and the second metaverse scene correspond to different metaverse scene contexts; andin response to the dynamic displacement exceeding the displacement threshold, providing the second metaverse scene as the metaverse vision to be displayed on the head-mounted display device.</t>
  </si>
  <si>
    <t>Li, Kuan-wei</t>
  </si>
  <si>
    <t>CN107193364 A</t>
  </si>
  <si>
    <t>G06F0003011000 | G06F0003012000 | G06F0003034600 | G06F2203012000 | A63F0013210000 | A63F0013525000 | G06T0007200000 | G06T0007700000 | G06V0020200000</t>
  </si>
  <si>
    <t>G06F00301000 | G06F00303460</t>
  </si>
  <si>
    <t>US20170262050A1|EP3220235A2|CN107193364A|TW201732502A|EP3220235A3|TWI624768B|EP3220235B1|CN107193364B|US10976809B2</t>
  </si>
  <si>
    <t>US20170262050 A1 | EP3220235 A2 | CN107193364 A | TW201732502 A | TWI624768 B | EP3220235 B1 | CN107193364 B | US10976809 B2</t>
  </si>
  <si>
    <t>I-000159056119</t>
  </si>
  <si>
    <t>20 years from 2017-03-13 (the day prior to the file date)</t>
  </si>
  <si>
    <t>https://patentscout.innography.com/share/N-L8FGh3JW6NoojEetJqfA%3D%3D</t>
  </si>
  <si>
    <t>2017-09-22-PUBLICATION|2017-10-24-ENTRY INTO FORCE OF REQUEST FOR SUBSTANTIVE EXAMINATION|2020-06-05-PATENT GRANT</t>
  </si>
  <si>
    <t>https://patentscout.innography.com/share/N-L8FGh3JW6NoojEetJqfA%3D%3D/download</t>
  </si>
  <si>
    <t>https://v3.espacenet.com/publicationDetails/biblio?CC=CN&amp;NR=107193364B&amp;KC=B&amp;FT=D&amp;date=20200605&amp;DB=EPODOC&amp;locale=</t>
  </si>
  <si>
    <t>US20170262050 A1</t>
  </si>
  <si>
    <t>Xu Jinguo | 徐金国</t>
  </si>
  <si>
    <t>1. A metaverse system, comprising:a head-mounted display device for displaying virtual reality vision;a processing device in communication with the head-mounted display device, the processing device configured to:providing a first virtual reality scene as the virtual reality vision to be displayed on the head-mounted display device;acquiring a dynamic displacement of the head-mounted display device;comparing the dynamic displacement to a displacement threshold;in response to the dynamic displacement not reaching the displacement threshold, providing a first metaverse scene in a first portion of the metaverse vision and a second metaverse scene in a second portion of the metaverse vision according to the dynamic displacement, wherein the first metaverse scene and the second metaverse scene correspond to different metaverse scene contexts; andin response to the dynamic displacement exceeding the displacement threshold, providing the second metaverse scene as the metaverse vision to be displayed on the head-mounted display device.</t>
  </si>
  <si>
    <t>11. A control method for a virtual reality system, the virtual reality system comprising a head-mounted display device for displaying virtual reality vision, the control method comprising:providing a first virtual reality scene as the virtual reality vision to be displayed on the head-mounted display device;acquiring a dynamic displacement of the head-mounted display device;comparing the dynamic displacement to a displacement threshold;in response to the dynamic displacement not reaching the displacement threshold, providing a first metaverse scene in a first portion of the metaverse vision and a second metaverse scene in a second portion of the metaverse vision according to the dynamic displacement, wherein the first metaverse scene and the second metaverse scene correspond to different metaverse scene contexts; andin response to the dynamic displacement exceeding the displacement threshold, providing the second metaverse scene as the metaverse vision to be displayed on the head-mounted display device.</t>
  </si>
  <si>
    <t>19. A non-transitory computer readable medium having a computer program to execute a control method, wherein the control method comprises:providing a first virtual reality scene as a virtual reality vision to be displayed on a head-mounted display device;acquiring a dynamic displacement of the head-mounted display device;comparing the dynamic displacement to a displacement threshold;in response to the dynamic displacement not reaching the displacement threshold, providing a first metaverse scene in a first portion of the metaverse vision and a second metaverse scene in a second portion of the metaverse vision according to the dynamic displacement, wherein the first metaverse scene and the second metaverse scene correspond to different metaverse scene contexts; andin response to the dynamic displacement exceeding the displacement threshold, providing the second metaverse scene as the metaverse vision to be displayed on the head-mounted display device.</t>
  </si>
  <si>
    <t>US20110060744 A1 | US20090327889 A1 | US20100050237 A1 | US20100185677 A1 | US20070118639 A1 | US20060111929 A1 | US20090172089 A1 | US20100145797 A1 | US20090267948 A1 | US20050091074 A1 | US20080139264 A1</t>
  </si>
  <si>
    <t>US10638091 B2 | CN108460705 A | US11343471 B2 | US9304746 B2 | US20150178741 A1 | US20110231433 A1 | US20120290665 A1</t>
  </si>
  <si>
    <t>2011-03-08</t>
  </si>
  <si>
    <t>2015-06-01</t>
  </si>
  <si>
    <t>An information management apparatus managing information on avatars in the metaverse includes: a static information acquisition unit which acquires static information of each of the avatars; a dynamic information acquisition unit which acquires dynamic information corresponding to behavior of each of the avatars; and an avatar information storage unit which stores therein the static information and the dynamic information in association with each of the avatars.</t>
  </si>
  <si>
    <t>Information management apparatus</t>
  </si>
  <si>
    <t>US13/064133</t>
  </si>
  <si>
    <t>SANGWOO AHN</t>
  </si>
  <si>
    <t>2166: Data Bases &amp; File Management</t>
  </si>
  <si>
    <t xml:space="preserve">An information management apparatus managing information on avatars in the metaverse, comprising:
a static information acquisition unit which acquires static information of each of the avatars;
a dynamic information acquisition unit which acquires dynamic information corresponding to behavior of each of the avatars; and
an avatar information storage unit which stores therein the static information and the dynamic information in association with each of the avatars.
</t>
  </si>
  <si>
    <t>1. An information management apparatus managing information on avatars in the metaverse, comprising:
a static information acquisition unit which acquires static information of each of the avatars;
a dynamic information acquisition unit which acquires dynamic information corresponding to behavior of each of the avatars; and
an avatar information storage unit which stores therein the static information and the dynamic information in association with each of the avatars.
2. The information management apparatus according to claim 1, further comprising a semi-dynamic information acquisition unit which acquires semi-dynamic information including scheduled behavior of at least one of the avatars in the past and in the feature.
3. The information management apparatus according to claim 1,
wherein the dynamic information includes a time period during which the avatar is in action and a location where the avatar is in action, and
wherein the information management apparatus further comprises an extraction unit which extracts some of the avatars each associated with the same location and with the overlapping time period from the avatar information storage unit, based on the dynamic information stored in the avatar information storage unit.
4. An information management apparatus comprising:
a static information acquisition unit which acquires static information of each of avatars visited a reception of a site provided in a specific island in metaverse;
a dynamic information acquisition unit which acquires dynamic information of each of the avatars active in the site;
an avatar information storage unit which stores the static information and the dynamic information in association with each of the avatars;
a search unit which performs searching with a specific word or phrase included in the static information or the dynamic information as a key; and
a display unit which displays a result of the searching by the search unit.
5. The information management apparatus according to claim 4, further comprising a semi-dynamic information acquisition unit which acquires semi-dynamic information including scheduled behavior of at least one of the avatars in the past and in the feature.
6. The information management apparatus according to claim 4, further comprising an address information acquisition unit which acquires address information of the avatars visited the reception of the site.
7. The information management apparatus according to claim 4,
wherein the dynamic information includes a time period during which the avatar is in action and a location where the avatar is in action, and
wherein the information management apparatus further comprises an extraction unit which extracts some of the avatars each associated with the same location and with the overlapping time period from the avatar information storage unit, based on the dynamic information stored in the avatar information storage unit.</t>
  </si>
  <si>
    <t>G06F01730000 | G06F02131000 | G06F02134000 | G06Q01000000 | G06Q03002000 | G06Q05000000 | G06Q05010000 | G06T01900000</t>
  </si>
  <si>
    <t>707769000|707825000|707E17005|707E17014</t>
  </si>
  <si>
    <t>US20110231434A1|JP2011216073A|JP5625882B2</t>
  </si>
  <si>
    <t>US20110231434 A1 | JP2011216073 A | JP5625882 B2</t>
  </si>
  <si>
    <t>I-000099731422</t>
  </si>
  <si>
    <t>https://patentscout.innography.com/share/8LYOL1wWPRPaXTVzjf3SfA%3D%3D</t>
  </si>
  <si>
    <t>2011-02-24-ASSIGNMENT (RICOH COMPANY, LIMITED)|2015-06-01-INFORMATION ON STATUS: APPLICATION DISCONTINUATION</t>
  </si>
  <si>
    <t>https://patentscout.innography.com/share/8LYOL1wWPRPaXTVzjf3SfA%3D%3D/download</t>
  </si>
  <si>
    <t>https://ppubs.uspto.gov/pubwebapp/external.html?q=20110231434.pn.</t>
  </si>
  <si>
    <t>US20110231434 A1</t>
  </si>
  <si>
    <t>JP2011216073 A</t>
  </si>
  <si>
    <t>102 | US12/554097 | CTNF
102 | US12/554097 | CTFR</t>
  </si>
  <si>
    <t>103 | (not available) | CTNF
103 | (not available) | CTFR
103 | US11/608843 | CTFR
103 | US12/108925 | CTNF
103 | US12/108925 | CTFR
103 | US12/193836 | CTNF
103 | US12/193836 | CTNF
103 | US12/193836 | CTFR
103 | US12/193836 | CTFR
103 | US12/193836 | CTFR
103 | US12/270515 | CTNF
103 | US12/270515 | CTNF
103 | US12/270515 | CTNF
103 | US12/270515 | CTFR
103 | US12/270515 | CTFR
103 | US12/270515 | CTFR
103 | US12/330697 | CTNF
103 | US12/330697 | CTNF
103 | US12/330697 | CTFR
103 | US12/554097 | CTNF
103 | US12/554097 | CTNF
103 | US12/554097 | CTFR
103 | US12/554097 | CTFR
103 | US12/554097 | CTFR</t>
  </si>
  <si>
    <t>International Business Machines Corp.
International Business Machines Corp.</t>
  </si>
  <si>
    <t>Unassigned
Microsoft Corporation
Microsoft Corporation
King.com Limited
King.com Limited
King.com Limited
King.com Limited
King.com Limited
International Business Machines Corp.
International Business Machines Corp.
International Business Machines Corp.
International Business Machines Corp.
International Business Machines Corp.
International Business Machines Corp.
Airbnb, Inc.
Airbnb, Inc.
Airbnb, Inc.
International Business Machines Corp.
International Business Machines Corp.
International Business Machines Corp.
International Business Machines Corp.
International Business Machines Corp.</t>
  </si>
  <si>
    <t>2014-11-24</t>
  </si>
  <si>
    <t>2014-07-30</t>
  </si>
  <si>
    <t>1. An information management apparatus managing information on avatars in the metaverse, comprising:
a static information acquisition unit which acquires static information of each of the avatars;
a dynamic information acquisition unit which acquires dynamic information corresponding to behavior of each of the avatars; and
an avatar information storage unit which stores therein the static information and the dynamic information in association with each of the avatars.</t>
  </si>
  <si>
    <t>4. An information management apparatus comprising:
a static information acquisition unit which acquires static information of each of avatars visited a reception of a site provided in a specific island in metaverse;
a dynamic information acquisition unit which acquires dynamic information of each of the avatars active in the site;
an avatar information storage unit which stores the static information and the dynamic information in association with each of the avatars;
a search unit which performs searching with a specific word or phrase included in the static information or the dynamic information as a key; and
a display unit which displays a result of the searching by the search unit.</t>
  </si>
  <si>
    <t>JP2002197376 A | JP2003228797 A</t>
  </si>
  <si>
    <t>JP6892174 B1 | JP2020114560 A | WO2022202036 A1 | JP2013117956 A | JP2015032084 A</t>
  </si>
  <si>
    <t>2014-11-19</t>
  </si>
  <si>
    <t>2010-12-20</t>
  </si>
  <si>
    <t>[PROBLEMS] To collect dynamic information such as unique static information and behavior history of an avatar when business is performed using a three-dimensional virtual space and analyze the information and use it for marketing. To do.  An information management device for managing information of various avatars existing in the metaverse the static information acquisition means 107 for acquiring static information possessed by the avatar itself and a motion based on the behavior of the avatar. Dynamic information acquisition means 108 for acquiring target information and a private object DB 25 for storing the acquired static information and dynamic information in association with the avatar.  [Selection] Figure 12</t>
  </si>
  <si>
    <t>Information management device</t>
  </si>
  <si>
    <t>JP2010283672A</t>
  </si>
  <si>
    <t>An information management device for managing information on avatars existing in the metaverse,  Static information acquisition means for acquiring static information held by the avatar;  Dynamic information acquisition means for acquiring dynamic information based on the behavior of the avatar;  Avatar information storage means for storing the static information and the dynamic information in association with an avatar;  An information management device comprising:
  The information management apparatus according to claim 1, further comprising semi-dynamic information acquisition means for acquiring semi-dynamic information including past and future action schedules of the avatar.
The dynamic information includes a period during which the avatar has acted and a place where the avatar has acted,  Furthermore, based on the dynamic information stored in the avatar information storage means, an extraction means for extracting from the avatar information storage means the avatar associated with the same place and associated with the overlapping period. The information management apparatus according to claim 1, further comprising:
Static information acquisition means for acquiring static information held by an avatar visited at the reception of a site provided on a specific island in the Metaverse,  Dynamic information acquisition means for acquiring dynamic information of the avatar acting in the site;  Avatar information storage means for storing the static information and the dynamic information in association with the avatar;  Search means for searching for a specific phrase included in the static information or the dynamic information as a key;  Display means for displaying a search result by the search means;  An information management device comprising:
  The information management apparatus according to claim 4, further comprising semi-dynamic information acquisition means for acquiring semi-dynamic information including past and future action schedules of the avatar.
  The information management apparatus according to claim 4, further comprising address information acquisition means for acquiring address information of the avatar from the avatar visited for reception of the site.
The dynamic information includes a period during which the avatar has acted and a place where the avatar has acted,  Furthermore, based on the dynamic information stored in the avatar information storage means, an extraction means for extracting from the avatar information storage means the avatar associated with the same place and associated with the overlapping period. The information management apparatus according to any one of claims 4 to 6, further comprising:</t>
  </si>
  <si>
    <t>JP5625882 B2</t>
  </si>
  <si>
    <t>G06F02131000</t>
  </si>
  <si>
    <t>G06F02131000 | G06F02134000 | G06Q01000000 | G06Q03002000 | G06Q05000000 | G06Q05010000 | G06T01900000</t>
  </si>
  <si>
    <t>I-000101357539</t>
  </si>
  <si>
    <t>Application expired due to grant (JP5625882 B2)</t>
  </si>
  <si>
    <t>https://patentscout.innography.com/share/45IqCsyaGQUx1ug9Wxr-Rw%3D%3D</t>
  </si>
  <si>
    <t>2013-11-12-WRITTEN REQUEST FOR APPLICATION EXAMINATION|2014-06-16-REPORT ON RETRIEVAL|2014-07-09-NOTIFICATION OF REASONS FOR REFUSAL|2014-08-08-WRITTEN AMENDMENT|2014-08-28-DECISION OF GRANT OR REJECTION WRITTEN|2014-09-03-WRITTEN DECISION TO GRANT A PATENT OR TO GRANT A REGISTRATION (UTILITY MODEL)|2014-10-06-FIRST PAYMENT OF ANNUAL FEES (DURING GRANT PROCEDURE)|2014-10-10-WRITTEN NOTIFICATION OF PATENT OR UTILITY MODEL REGISTRATION</t>
  </si>
  <si>
    <t>https://patentscout.innography.com/share/45IqCsyaGQUx1ug9Wxr-Rw%3D%3D/download</t>
  </si>
  <si>
    <t>https://v3.espacenet.com/publicationDetails/biblio?CC=JP&amp;NR=2011216073A&amp;KC=A&amp;FT=D&amp;date=20111027&amp;DB=EPODOC&amp;locale=</t>
  </si>
  <si>
    <t>1. An information management device for managing information on avatars existing in the metaverse,  Static information acquisition means for acquiring static information held by the avatar;  Dynamic information acquisition means for acquiring dynamic information based on the behavior of the avatar;  Avatar information storage means for storing the static information and the dynamic information in association with an avatar;  An information management device comprising:</t>
  </si>
  <si>
    <t>4. Static information acquisition means for acquiring static information held by an avatar visited at the reception of a site provided on a specific island in the Metaverse,  Dynamic information acquisition means for acquiring dynamic information of the avatar acting in the site;  Avatar information storage means for storing the static information and the dynamic information in association with the avatar;  Search means for searching for a specific phrase included in the static information or the dynamic information as a key;  Display means for displaying a search result by the search means;  An information management device comprising:</t>
  </si>
  <si>
    <t>2030-12-20</t>
  </si>
  <si>
    <t>Available marketing when doing business by utilizing present invention relates to three-dimensional virtual space by collecting dynamic information such as the behavior history static and unique information possessed by the avatar by analyzing their information to. An information management apparatus for managing the information of avatar of various present in [MEANS FOR SOLVING PROBLEMS] metaverse and static information acquisition means 107 to get the static information that avatar itself is held the dynamic that is based on the behavior of the avatar and a dynamic information acquisition means 108 for acquiring information and a private object DB25 for storing in association with avatar dynamic information and static information acquired. [Selection] Figure 12</t>
  </si>
  <si>
    <t>An information management device for managing information on avatars existing in the metaverse,  Static information acquisition means for acquiring static information held by the avatar;  Dynamic information acquisition means for acquiring dynamic information including a period during which the avatar has acted and a place where the avatar has acted ;  Avatar information storage means for storing the static information and the dynamic information in association with an avatar;  Based on the dynamic information stored in the avatar information storage means, an extraction means for extracting from the avatar information storage means the avatar associated with the same location and associated with the overlapping period;  An information management device comprising:
  The information management apparatus according to claim 1, further comprising semi-dynamic information acquisition means for acquiring semi-dynamic information including past and future action schedules of the avatar.
Static information acquisition means for acquiring static information held by an avatar visited at the reception of a site provided on a specific island in the Metaverse,  Dynamic information acquisition means for acquiring dynamic information of the avatar acting in the site, including a period during which the avatar has acted and a place where the avatar has acted ;  Avatar information storage means for storing the static information and the dynamic information in association with the avatar;  Search means for searching for a specific phrase included in the static information or the dynamic information as a key;  Display means for displaying a search result by the search means;  Based on the dynamic information stored in the avatar information storage means, an extraction means for extracting from the avatar information storage means the avatar associated with the same location and associated with the overlapping period;  An information management device comprising:
The information management apparatus according to claim 3 , further comprising semi-dynamic information acquisition means for acquiring semi-dynamic information including past and future action schedules of the avatar.
The information management apparatus according to claim 3 , further comprising address information acquisition means for acquiring address information of the avatar from the avatar visited for reception of the site.</t>
  </si>
  <si>
    <t>G06Q05010000 | G06F02131000 | G06F02134000 | G06Q01000000 | G06Q03002000 | G06Q05000000 | G06T01900000</t>
  </si>
  <si>
    <t>20 years from 2010-12-20 (file date)</t>
  </si>
  <si>
    <t>https://patentscout.innography.com/share/y8Poxv-F1p4Bf394yB-8dA%3D%3D</t>
  </si>
  <si>
    <t>https://patentscout.innography.com/share/y8Poxv-F1p4Bf394yB-8dA%3D%3D/download</t>
  </si>
  <si>
    <t>https://v3.espacenet.com/publicationDetails/biblio?CC=JP&amp;NR=5625882B2&amp;KC=B2&amp;FT=D&amp;date=20141119&amp;DB=EPODOC&amp;locale=</t>
  </si>
  <si>
    <t>1. An information management device for managing information on avatars existing in the metaverse,  Static information acquisition means for acquiring static information held by the avatar;  Dynamic information acquisition means for acquiring dynamic information including a period during which the avatar has acted and a place where the avatar has acted ;  Avatar information storage means for storing the static information and the dynamic information in association with an avatar;  Based on the dynamic information stored in the avatar information storage means, an extraction means for extracting from the avatar information storage means the avatar associated with the same location and associated with the overlapping period;  An information management device comprising:</t>
  </si>
  <si>
    <t>3. Static information acquisition means for acquiring static information held by an avatar visited at the reception of a site provided on a specific island in the Metaverse,  Dynamic information acquisition means for acquiring dynamic information of the avatar acting in the site, including a period during which the avatar has acted and a place where the avatar has acted ;  Avatar information storage means for storing the static information and the dynamic information in association with the avatar;  Search means for searching for a specific phrase included in the static information or the dynamic information as a key;  Display means for displaying a search result by the search means;  Based on the dynamic information stored in the avatar information storage means, an extraction means for extracting from the avatar information storage means the avatar associated with the same location and associated with the overlapping period;  An information management device comprising:</t>
  </si>
  <si>
    <t>2020-02-18</t>
  </si>
  <si>
    <t>2017-07-05</t>
  </si>
  <si>
    <t>2018-07-03</t>
  </si>
  <si>
    <t>2038-07-03</t>
  </si>
  <si>
    <t>Systems and methods are provided for specifying region information such as the source and nature of a recommended viewport and a priority among a plurality of recommended viewports. The metaverse video data may represent a 360 degree view of the virtual environment. In various examples a region of the metaverse video data may be determined where the region includes a sub-portion of the 360 degree view. A data structure for the region may be generated where the data structure includes parameters describing the region. The parameters may include a source associated with the region. The metaverse video data and the data structures may be stored in files.</t>
  </si>
  <si>
    <t>Enhanced signaling for regions of interest in container files and video bitstreams</t>
  </si>
  <si>
    <t>video bitstream|enhanced signaling|container file|video data|data structure|viewport|source associated</t>
  </si>
  <si>
    <t>CN201880044025A</t>
  </si>
  <si>
    <t xml:space="preserve">A method of processing metaverse video data, comprising:obtaining the metaverse video data, wherein the metaverse video data represents a 360 degree view of a virtual environment;determining a region of the metaverse video data, wherein the region includes a sub-portion of the 360 degree view;generating a data structure for the region, the data structure including parameters describing the region, wherein the parameters include parameters indicating a source associated with the region;generating a file for storing the metaverse video data;storing the metaverse video data in the file; andstoring the data structure in the file.
</t>
  </si>
  <si>
    <t>1. A method of processing metaverse video data, comprising:obtaining the metaverse video data, wherein the metaverse video data represents a 360 degree view of a virtual environment;determining a region of the metaverse video data, wherein the region includes a sub-portion of the 360 degree view;generating a data structure for the region, the data structure including parameters describing the region, wherein the parameters include parameters indicating a source associated with the region;generating a file for storing the metaverse video data;storing the metaverse video data in the file; andstoring the data structure in the file.
2. The method of claim 1, wherein the region may be used as a viewport when reviewing the metaverse video data.
3. The method of claim 1, wherein the file is a container file, wherein the container file is organized according to a format, and wherein the data structure is stored in a box structure described by the format.
4. The method of claim 3, wherein the number of region values in the box structure is allowed to be greater than one, and wherein, when the metaverse video data includes more than one region, parameters for the region and the more than one region may be stored in the same timed metadata track.
5. The method of claim 3, wherein the number of region values in the box structure is limited to one, and wherein, when the metaverse video data includes more than one region, parameters for the more than one region are stored in different timed metadata tracks.
6. The method of claim 1, wherein the metaverse video data is stored in the file as an encoded bitstream, and wherein the data structure is stored in a message element of the encoded bitstream.
7. The method of claim 1, wherein the source associated with the region is a content creator.
8. The method of claim 1, wherein the source associated with the region indicates that the region is a most-viewed region of the metaverse video data.
9. An apparatus for processing metaverse video data, comprising:a memory configured to store video data; anda processor configured to:obtaining the metaverse video data, wherein the metaverse video data represents a 360 degree view of a virtual environment;determining a region of the metaverse video data, wherein the region includes a sub-portion of the 360 degree view;generating a data structure for the region, the data structure including parameters describing the region, wherein the parameters include parameters indicating a source associated with the region;generating a file for storing the metaverse video data;storing the metaverse video data in the file; andstoring the data structure in the file.
10. The apparatus of claim 9, wherein the region may be used as a viewport when reviewing the metaverse video data.
11. The apparatus of claim 9, wherein the file is a container file, wherein the container file is organized according to a format, and wherein the data structure is stored in a box structure described by the format.
12. The apparatus of claim 11, wherein the number of region values in the box structure is allowed to be greater than one, and wherein, when the metaverse video data includes more than one region, parameters for the region and the more than one region may be stored in the same timed metadata track.
13. The apparatus of claim 11, wherein the number of region values in the box structure is limited to one, and wherein, when the metaverse video data includes more than one region, parameters for the more than one region are stored in different timed metadata tracks.
14. The apparatus of claim 9, wherein the metaverse video data is stored in the file as an encoded bitstream, and wherein the data structure is stored in a message element of the encoded bitstream.
15. The apparatus of claim 9, wherein the source associated with the region is a content creator.
16. The apparatus of claim 9, wherein the source associated with the region indicates that the region is a most-viewed region of the metaverse video data.
17. A non-transitory computer-readable medium having stored thereon instructions that, when executed by a processor, cause the processor to perform operations for processing metaverse video data, the operations comprising:determining a region of the metaverse video data, wherein the region includes a sub-portion of a 360 degree view;generating a data structure for the region, the data structure including parameters describing the region, wherein the parameters include parameters indicating a source associated with the region;generating a file for storing the metaverse video data;storing the metaverse video data in the file; andstoring the data structure in the file.
18. The non-transitory computer-readable medium of claim 17, wherein the region may be used as a viewport when reviewing the metaverse video data.
19. The non-transitory computer-readable medium of claim 17, wherein the file is a container file, wherein the container file is organized according to a format, and wherein the data structure is stored in a box structure described by the format.
20. The non-transitory computer-readable medium of claim 19, wherein the number of region values in the box structure is allowed to be greater than one, and wherein, when the metaverse video data includes more than one region, parameters for the region and the more than one region may be stored in the same timed metadata track.
21. The non-transitory computer readable medium of claim 19, wherein the number of region values in the box structure is limited to one, and wherein, when the metaverse video data includes more than one region, parameters for the more than one region are stored in different timed metadata tracks.
22. The non-transitory computer-readable medium of claim 17, wherein the metaverse video data is stored in the file as an encoded bitstream, and wherein the data structure is stored in a message element of the encoded bitstream.
23. The non-transitory computer-readable medium of claim 17, wherein the source associated with the region is a content creator.
24. The non-transitory computer-readable medium of claim 17, wherein the source associated with the region indicates that the region is a most-viewed region of the metaverse video data.
25. An apparatus for processing metaverse video data, comprising:means for obtaining the metaverse video data, wherein the metaverse video data represents a 360 degree view of a virtual environment;means for determining a region of the metaverse video data, wherein the region includes a sub-portion of the 360 degree view;means for generating a data structure for the region, the data structure including parameters describing the region, wherein the parameters include parameters indicative of a source associated with the region;means for generating a file for storing the metaverse video data;means for storing the metaverse video data in the file; andmeans for storing the data structure in the file.</t>
  </si>
  <si>
    <t>Wang, Ye-kui</t>
  </si>
  <si>
    <t>G06T0017100000</t>
  </si>
  <si>
    <t>G06T0017100000 | H04N0021236050 | H04N0019167000 | H04N0019300000 | H04N0019597000 | H04N0019700000 | H04N0021816000 | H04N0021854060 | H04N0019000000 | G06T0019003000 | G06T0019006000 | G06T2200040000 | G06T2207100210 | H04N0005232380 | H04N0013300000 | H04N0021218050</t>
  </si>
  <si>
    <t>G06F01212000</t>
  </si>
  <si>
    <t>G06F01212000 | G06T01710000</t>
  </si>
  <si>
    <t>US20190012839A1|WO2019010198A1|TW201907706A|AU2018298046A1|CN110809758A|KR20200027480A|EP3649555A1|US10679415B2|BR112019027833A2|JP2020526958A|KR102185811B1|AU2018298046B2|TWI712309B|JP6874169B2|JP2021100256A</t>
  </si>
  <si>
    <t>US20190012839 A1 | WO2019010198 A1 | TW201907706 A | AU2018298046 A1 | CN110809758 A | KR20200027480 A | EP3649555 A1 | US10679415 B2 | BR112019027833 A2 | JP2020526958 A | KR102185811 B1 | AU2018298046 B2 | TWI712309 B | JP6874169 B2 | JP2021100256 A</t>
  </si>
  <si>
    <t>I-000190597712</t>
  </si>
  <si>
    <t>20 years from 2018-07-03 (file date)</t>
  </si>
  <si>
    <t>https://patentscout.innography.com/share/YKAUuWVuSU6haRn3iY57Fw%3D%3D</t>
  </si>
  <si>
    <t>2020-02-18-PUBLICATION|2020-03-13-ENTRY INTO FORCE OF REQUEST FOR SUBSTANTIVE EXAMINATION</t>
  </si>
  <si>
    <t>https://patentscout.innography.com/share/YKAUuWVuSU6haRn3iY57Fw%3D%3D/download</t>
  </si>
  <si>
    <t>https://v3.espacenet.com/publicationDetails/biblio?CC=CN&amp;NR=110809758A&amp;KC=A&amp;FT=D&amp;date=20200218&amp;DB=EPODOC&amp;locale=</t>
  </si>
  <si>
    <t>PCT/US2018/040748</t>
  </si>
  <si>
    <t>CN110809758 A</t>
  </si>
  <si>
    <t>US20190012839 A1</t>
  </si>
  <si>
    <t>1. A method of processing metaverse video data, comprising:obtaining the metaverse video data, wherein the metaverse video data represents a 360 degree view of a virtual environment;determining a region of the metaverse video data, wherein the region includes a sub-portion of the 360 degree view;generating a data structure for the region, the data structure including parameters describing the region, wherein the parameters include parameters indicating a source associated with the region;generating a file for storing the metaverse video data;storing the metaverse video data in the file; andstoring the data structure in the file.</t>
  </si>
  <si>
    <t>9. An apparatus for processing metaverse video data, comprising:a memory configured to store video data; anda processor configured to:obtaining the metaverse video data, wherein the metaverse video data represents a 360 degree view of a virtual environment;determining a region of the metaverse video data, wherein the region includes a sub-portion of the 360 degree view;generating a data structure for the region, the data structure including parameters describing the region, wherein the parameters include parameters indicating a source associated with the region;generating a file for storing the metaverse video data;storing the metaverse video data in the file; andstoring the data structure in the file.</t>
  </si>
  <si>
    <t>17. A non-transitory computer-readable medium having stored thereon instructions that, when executed by a processor, cause the processor to perform operations for processing metaverse video data, the operations comprising:determining a region of the metaverse video data, wherein the region includes a sub-portion of a 360 degree view;generating a data structure for the region, the data structure including parameters describing the region, wherein the parameters include parameters indicating a source associated with the region;generating a file for storing the metaverse video data;storing the metaverse video data in the file; andstoring the data structure in the file.</t>
  </si>
  <si>
    <t>25. An apparatus for processing metaverse video data, comprising:means for obtaining the metaverse video data, wherein the metaverse video data represents a 360 degree view of a virtual environment;means for determining a region of the metaverse video data, wherein the region includes a sub-portion of the 360 degree view;means for generating a data structure for the region, the data structure including parameters describing the region, wherein the parameters include parameters indicative of a source associated with the region;means for generating a file for storing the metaverse video data;means for storing the metaverse video data in the file; andmeans for storing the data structure in the file.</t>
  </si>
  <si>
    <t>2018-10-09</t>
  </si>
  <si>
    <t>2020-07-03</t>
  </si>
  <si>
    <t>2017-03-23</t>
  </si>
  <si>
    <t>2017-05-11</t>
  </si>
  <si>
    <t>2037-05-10</t>
  </si>
  <si>
    <t>2018-02-01</t>
  </si>
  <si>
    <t>A virtual reality system an operation method of a mobile device a non-volatile computer readable recording medium and a virtual reality processing device are provided. The virtual reality system includes: the virtual reality display device the first virtual reality controller the mobile device and the virtual reality processing device. The virtual reality display device is used for displaying a virtual reality environment corresponding to the position and the rotation angle of the virtual reality display device. The mobile device is attached to the first metaverse controller. The virtual reality processing device is used for: obtaining the position and the rotation angle of the first virtual reality controller; the position and the rotation angle of the first virtual reality controller are transmitted to the mobile device through a network so that the mobile device can operatively display a virtual reality object in the virtual reality environment corresponding to the position and the rotation angle of the first virtual reality controller. By applying one embodiment of the present disclosure other people can see the virtual reality object without using another virtual reality display device.</t>
  </si>
  <si>
    <t>Virtual reality system, operation method of mobile device, non-volatile computer-readable recording medium, and virtual reality processing device</t>
  </si>
  <si>
    <t>virtual reality|reality|mobile device</t>
  </si>
  <si>
    <t>CN201710329880A</t>
  </si>
  <si>
    <t xml:space="preserve">A metaverse system, comprising:the virtual reality display device is used for displaying a virtual reality environment corresponding to the position and the rotation angle of the virtual reality display device, wherein the virtual reality environment comprises a virtual reality object;a first metaverse controller;a mobile device, wherein a sensor is attached to the mobile device, there is an offset in at least one axis in a spatial coordinate system between the sensor and the mobile device, and the mobile device is not another metaverse display device; anda virtual reality processing apparatus, configured to:obtaining the position and rotation angle of the sensor from the sensor through the connection with the sensor; andthe position and the rotation angle of the sensor are transmitted to the mobile device through a network, wherein the mobile device obtains the position of the mobile device according to the position of the sensor, obtains the rotation angle of the mobile device according to the rotation angle of the sensor, and operatively displays the virtual reality object according to the position and the rotation angle of the mobile device.
</t>
  </si>
  <si>
    <t>1. A metaverse system, comprising:the virtual reality display device is used for displaying a virtual reality environment corresponding to the position and the rotation angle of the virtual reality display device, wherein the virtual reality environment comprises a virtual reality object;a first metaverse controller;a mobile device, wherein a sensor is attached to the mobile device, there is an offset in at least one axis in a spatial coordinate system between the sensor and the mobile device, and the mobile device is not another metaverse display device; anda virtual reality processing apparatus, configured to:obtaining the position and rotation angle of the sensor from the sensor through the connection with the sensor; andthe position and the rotation angle of the sensor are transmitted to the mobile device through a network, wherein the mobile device obtains the position of the mobile device according to the position of the sensor, obtains the rotation angle of the mobile device according to the rotation angle of the sensor, and operatively displays the virtual reality object according to the position and the rotation angle of the mobile device.
2. The metaverse system of claim 1, wherein the mobile device is further configured to:shooting a plurality of real world images through a shooting element of the mobile device; andand operatively displaying the virtual reality object on the plurality of real world images corresponding to the position and the rotation angle of the first virtual reality controller.
3. The metaverse system of claim 1, wherein the mobile device is further configured to:and operatively displaying the metaverse object in the metaverse environment corresponding to the position and the rotation angle of the first metaverse controller.
4. The metaverse system of any one of claims 1-3, wherein the metaverse processing device is further configured to:transmitting the position and the rotation angle of the virtual reality display device to the mobile device through the network, so that the mobile device can operatively display the virtual reality object in the virtual reality environment corresponding to the position and the rotation angle of the virtual reality display device and the position and the rotation angle of the first virtual reality controller.
5. The metaverse system of any one of claims 1-3, wherein the metaverse processing device is further configured to:controlling the virtual reality display device to operatively display another virtual reality object according to the position and the rotation angle of the virtual reality display device and the position and the rotation angle of the first virtual reality controller.
6. The metaverse system of any one of claims 1-3, wherein the mobile device is further configured to:obtaining a position of the mobile device corresponding to the position of the first metaverse controller; andthe virtual reality object is operatively displayed corresponding to the position of the mobile device.
7. The metaverse system of any one of claims 1-3, wherein the metaverse processing device is further configured to:obtaining the position and the rotation angle of a second virtual reality controller; andtransmitting the position and the rotation angle of the second virtual reality controller to the mobile device through the network, so that the mobile device can operatively display the virtual reality object in the virtual reality environment corresponding to the position and the rotation angle of the second virtual reality controller.
8. The metaverse system of any one of claims 1-3, wherein the metaverse processing device is further configured to:receiving a real-time image displayed on the mobile device; andcontrolling the virtual reality display device to operatively display the real-time image on the mobile device.
9. A method of operating a mobile device, comprising:receiving a position and a rotation angle of a sensor from a metaverse processing device through a network, wherein the sensor is attached to the mobile device, an offset exists between the sensor and the mobile device on at least one axis in a spatial coordinate system, the mobile device is not another metaverse display device, the metaverse processing device is communicated with a metaverse display device, and the metaverse display device is used for displaying a metaverse environment corresponding to the position and the rotation angle of the metaverse display device; andthe mobile device obtains the position of the mobile device according to the position of the sensor, obtains the rotation angle of the mobile device according to the rotation angle of the sensor, and operatively displays the virtual reality object according to the position and the rotation angle of the mobile device.
10. A non-volatile computer-readable recording medium for storing a computer program, wherein the computer program, when executed, causes one or more processing elements to perform operations comprising:receiving a position and a rotation angle of a sensor from a metaverse processing device through a network, wherein the sensor is attached to a mobile device, an offset exists between the sensor and the mobile device on at least one axis in a spatial coordinate system, the mobile device is not another metaverse display device, the metaverse processing device is communicated with a metaverse display device, and the metaverse display device is used for displaying a metaverse environment corresponding to the position and the rotation angle of the metaverse display device; andthe mobile device obtains the position of the mobile device according to the position of the sensor, obtains the rotation angle of the mobile device according to the rotation angle of the sensor, and operatively displays the virtual reality object according to the position and the rotation angle of the mobile device.
11. A metaverse processing apparatus, comprising:one or more processing elements;a memory electrically connected to the one or more processing elements; andone or more programs stored in the memory and configured to be executed by the one or more processing elements, the one or more programs including instructions for:displaying a virtual reality environment corresponding to the position and the rotation angle of the virtual reality display device, wherein the virtual reality environment comprises a virtual reality object, a sensor is attached to a mobile device, and the sensor and the mobile device have an offset on at least one axis in a spatial coordinate system, and the mobile device is not another virtual reality display device;obtaining the position and rotation angle of the sensor from the sensor through the connection with the sensor;the position and the rotation angle of the sensor are transmitted to the mobile device through a network, wherein the mobile device obtains the position of the mobile device according to the position of the sensor, obtains the rotation angle of the mobile device according to the rotation angle of the sensor, and operatively displays the virtual reality object according to the position and the rotation angle of the mobile device.</t>
  </si>
  <si>
    <t>Huang, Guei-yu|Wang, Kang-yu</t>
  </si>
  <si>
    <t>CN108628435 A</t>
  </si>
  <si>
    <t>G06F0003011000 | G06T0019006000 | G06F0003140000 | G06F2203012000 | G06F0003034600 | G06F0003048150 | G06T0007730000 | G09G0005003000 | G09G2370020000 | G02B0027017000</t>
  </si>
  <si>
    <t>G06F00301000 | G06F00314000</t>
  </si>
  <si>
    <t>TWI613570B|US20180276893A1|EP3379380A1|CN108628435A|TW201835725A|US10282909B2|CN108628435B|EP3379380B1</t>
  </si>
  <si>
    <t>TWI613570 B | US20180276893 A1 | EP3379380 A1 | CN108628435 A | TW201835725 A | US10282909 B2 | CN108628435 B | EP3379380 B1</t>
  </si>
  <si>
    <t>I-000170957549</t>
  </si>
  <si>
    <t>20 years from 2017-05-10 (the day prior to the file date)</t>
  </si>
  <si>
    <t>https://patentscout.innography.com/share/Lin-L2OrQ5_qHBu5wvierg%3D%3D</t>
  </si>
  <si>
    <t>2018-10-09-PUBLICATION|2018-11-02-ENTRY INTO FORCE OF REQUEST FOR SUBSTANTIVE EXAMINATION|2020-07-03-PATENT GRANT</t>
  </si>
  <si>
    <t>https://patentscout.innography.com/share/Lin-L2OrQ5_qHBu5wvierg%3D%3D/download</t>
  </si>
  <si>
    <t>https://v3.espacenet.com/publicationDetails/biblio?CC=CN&amp;NR=108628435B&amp;KC=B&amp;FT=D&amp;date=20200703&amp;DB=EPODOC&amp;locale=</t>
  </si>
  <si>
    <t>US20180276893 A1</t>
  </si>
  <si>
    <t>1. A metaverse system, comprising:the virtual reality display device is used for displaying a virtual reality environment corresponding to the position and the rotation angle of the virtual reality display device, wherein the virtual reality environment comprises a virtual reality object;a first metaverse controller;a mobile device, wherein a sensor is attached to the mobile device, there is an offset in at least one axis in a spatial coordinate system between the sensor and the mobile device, and the mobile device is not another metaverse display device; anda virtual reality processing apparatus, configured to:obtaining the position and rotation angle of the sensor from the sensor through the connection with the sensor; andthe position and the rotation angle of the sensor are transmitted to the mobile device through a network, wherein the mobile device obtains the position of the mobile device according to the position of the sensor, obtains the rotation angle of the mobile device according to the rotation angle of the sensor, and operatively displays the virtual reality object according to the position and the rotation angle of the mobile device.</t>
  </si>
  <si>
    <t>9. A method of operating a mobile device, comprising:receiving a position and a rotation angle of a sensor from a metaverse processing device through a network, wherein the sensor is attached to the mobile device, an offset exists between the sensor and the mobile device on at least one axis in a spatial coordinate system, the mobile device is not another metaverse display device, the metaverse processing device is communicated with a metaverse display device, and the metaverse display device is used for displaying a metaverse environment corresponding to the position and the rotation angle of the metaverse display device; andthe mobile device obtains the position of the mobile device according to the position of the sensor, obtains the rotation angle of the mobile device according to the rotation angle of the sensor, and operatively displays the virtual reality object according to the position and the rotation angle of the mobile device.</t>
  </si>
  <si>
    <t>10. A non-volatile computer-readable recording medium for storing a computer program, wherein the computer program, when executed, causes one or more processing elements to perform operations comprising:receiving a position and a rotation angle of a sensor from a metaverse processing device through a network, wherein the sensor is attached to a mobile device, an offset exists between the sensor and the mobile device on at least one axis in a spatial coordinate system, the mobile device is not another metaverse display device, the metaverse processing device is communicated with a metaverse display device, and the metaverse display device is used for displaying a metaverse environment corresponding to the position and the rotation angle of the metaverse display device; andthe mobile device obtains the position of the mobile device according to the position of the sensor, obtains the rotation angle of the mobile device according to the rotation angle of the sensor, and operatively displays the virtual reality object according to the position and the rotation angle of the mobile device.</t>
  </si>
  <si>
    <t>11. A metaverse processing apparatus, comprising:one or more processing elements;a memory electrically connected to the one or more processing elements; andone or more programs stored in the memory and configured to be executed by the one or more processing elements, the one or more programs including instructions for:displaying a virtual reality environment corresponding to the position and the rotation angle of the virtual reality display device, wherein the virtual reality environment comprises a virtual reality object, a sensor is attached to a mobile device, and the sensor and the mobile device have an offset on at least one axis in a spatial coordinate system, and the mobile device is not another virtual reality display device;obtaining the position and rotation angle of the sensor from the sensor through the connection with the sensor;the position and the rotation angle of the sensor are transmitted to the mobile device through a network, wherein the mobile device obtains the position of the mobile device according to the position of the sensor, obtains the rotation angle of the mobile device according to the rotation angle of the sensor, and operatively displays the virtual reality object according to the position and the rotation angle of the mobile device.</t>
  </si>
  <si>
    <t>KR20010026397 A | KR20110007419 A | KR20210032136 A</t>
  </si>
  <si>
    <t>2021-12-06</t>
  </si>
  <si>
    <t>2041-12-06</t>
  </si>
  <si>
    <t>The present invention relates to a system for analyzing copyright infringement through similarity analysis of content. Such a system registers and manages information on various tangible and intangible assets traded in the virtual reality world collects images and metadata preprocesses the collected data and then analyzes and classifies it in real time by an artificial intelligence algorithm.  a metaverse constructing unit 3 for 3D modeling an item or new data and expressing a tangible item in a complex metaverse virtual reality space; a content generation unit 5 that generates a creation in the complex metaverse virtual reality; a content registration unit 8 that registers information related to plagiarism copyright violation and content related to the metaverse content generated by the content generating unit 5 through artificial intelligence analysis; a unit price calculation unit 9 for calculating a unit price of metaverse contents registered by the contents registration unit 57; a content exchange 11 that conducts transactions for metaverse content online; And it includes a revenue settlement unit 13 that settles the revenue of metaverse data published or traded through the content exchange 11 .</t>
  </si>
  <si>
    <t>The methods and systems of copyright infringement analysis through similarity analysis of contents which created by users in virtual reality modeling the real world</t>
  </si>
  <si>
    <t>Nextor Inc.</t>
  </si>
  <si>
    <t>NEXTOR INC.</t>
  </si>
  <si>
    <t>KR20210172838A</t>
  </si>
  <si>
    <t>A terminal (2), a device (6) for collecting various data, and a server ( 4) As a copyright infringement analysis system through the similarity analysis of contents, including, the server 4 registers and manages information on tangible and intangible assets traded in the virtual reality world, collects images and metadata, After pre-processing the collected data by the preprocessor 7, real-time analysis and classification by an artificial intelligence algorithm, 3D modeling of items or new data, and constructing a metaverse that expresses tangible items in a complex metaverse virtual reality space part (3);a content generation unit 5 that generates a creation in the complex metaverse virtual reality;a content registration unit 8 that registers information related to plagiarism, copyright violation, and content related to the metaverse content generated by the content generating unit 5 through artificial intelligence analysis;a unit price calculation unit 9 for calculating a unit price of metaverse contents registered by the contents registration unit 57;a content exchange 11 that conducts transactions for metaverse content online; and a revenue settlement unit 13 that settles revenue of metaverse data published or traded through the content exchange 11;The content registration unit 57 includes a similarity analysis module 45 for comparing newly registered metaverse content with existing metaverse content; And it includes a violation determination module 47 that determines whether intellectual property rights are infringed according to the similarity analysis result, and the metaverse construction unit 3 registers and stores information on tangible and intangible assets traded in the real world. a managed item registration unit 18; a data collection unit 15 for collecting images and metadata received according to the user's device 6 and location-based signals; a data analysis unit 22 for pre-processing the collected data and then analyzing and classifying the collected data in real time by an artificial intelligence algorithm; an item generating unit 20 for 3D modeling an item or new data registered as a 2D or 3D image using the image and metadata received through the data analysis unit 22;A virtual reality construction unit (3) that connects the item modeled in the item creation unit (20) and the item product information matched in the item registration unit (18) to express a tangible item in a complex metaverse virtual reality space; Copyright infringement analysis system through similarity analysis of metaverse contents.</t>
  </si>
  <si>
    <t>A terminal (2), a device (6) for collecting various data, and a server ( 4) As a copyright infringement analysis system through the similarity analysis of contents, including, the server 4 registers and manages information on tangible and intangible assets traded in the virtual reality world, collects images and metadata, After pre-processing the collected data by the preprocessor 7, real-time analysis and classification by an artificial intelligence algorithm, 3D modeling of items or new data, and constructing a metaverse that expresses tangible items in a complex metaverse virtual reality space part (3);a content generation unit 5 that generates a creation in the complex metaverse virtual reality;a content registration unit 8 that registers information related to plagiarism, copyright violation, and content related to the metaverse content generated by the content generating unit 5 through artificial intelligence analysis;a unit price calculation unit 9 for calculating a unit price of metaverse contents registered by the contents registration unit 57;a content exchange 11 that conducts transactions for metaverse content online; and a revenue settlement unit 13 that settles revenue of metaverse data published or traded through the content exchange 11;The content registration unit 57 includes a similarity analysis module 45 for comparing newly registered metaverse content with existing metaverse content; And it includes a violation determination module 47 that determines whether intellectual property rights are infringed according to the similarity analysis result, and the metaverse construction unit 3 registers and stores information on tangible and intangible assets traded in the real world. a managed item registration unit 18; a data collection unit 15 for collecting images and metadata received according to the user's device 6 and location-based signals; a data analysis unit 22 for pre-processing the collected data and then analyzing and classifying the collected data in real time by an artificial intelligence algorithm; an item generating unit 20 for 3D modeling an item or new data registered as a 2D or 3D image using the image and metadata received through the data analysis unit 22;
A virtual reality construction unit (3) that connects the item modeled in the item creation unit (20) and the item product information matched in the item registration unit (18) to express a tangible item in a complex metaverse virtual reality space; Copyright infringement analysis system through similarity analysis of metaverse contents.
A terminal (2), a device (6) for collecting various data, and a server ( 4) A system for analyzing copyright infringement through a similarity analysis of content including, the server 4 comprising: an input unit 53 to which the generated content is input; a feature point extraction unit 55 for classifying the inputted content and extracting feature points; a pre-processing unit 57 for pre-processing the content; a sequence conversion unit 59 that performs sequence processing on the content data; a similarity analysis module 45 for comparing newly registered content with existing registered content;
And a violation determination module 47 that determines whether the intellectual property right is infringed according to the similarity analysis result, and the sequence converter 59 parallelly processes the preprocessed data file through a Map function to extract an event record. Copyright infringement analysis system (1) through similarity analysis of content that converts the time set in the data file into a sequence number, and collects the converted data into a sequence number in parallel through a reduce function to create a sequence (1) .
delete
3. The method according to claim 1 or 2, wherein the pre-processing unit (7, 57) comprises: an image content pre-processing module (17) for processing image content; an image content pre-processing module 19 for pre-processing image content; a pre-processing module 21 for pre-processing meta information; A copyright infringement analysis system (1) including a sound source content pre-processing module 23 for processing sound source content, and through similarity analysis of content that is connected to the central processing unit (32) to transmit and receive signals.
delete
The similarity analysis engine ( 34), GPU (35), ALSA (Advanced Linux Sound Architecture; 36), ALVA (38), RTSP (Real Time Streaming Protocol; 40), API (42), through similarity analysis of content including communication module Copyright Infringement Analysis System (1).
The method according to claim 6, wherein the infringement determination module (47) loads a plurality of contents determined to be included in the similarity range, determines whether the contents are infringed based on the similarity of the plurality of loaded contents, and sends the information to the notification module (49) in case of infringement. Copyright infringement analysis system (1) through similarity analysis of contents to guide legitimate contents registrants by
The copyright infringement through similarity analysis of content according to claim 1, wherein the revenue settlement unit (13) charges a fee for the number of times or time used to the user who uses the metaverse content through the content billing unit (14) to settle the revenue. analysis system (1).</t>
  </si>
  <si>
    <t>Jeon, Joucheon</t>
  </si>
  <si>
    <t>G06Q05018000 | G06N00308000 | G06Q03006000 | G06T01900000</t>
  </si>
  <si>
    <t>KR102421159B1</t>
  </si>
  <si>
    <t>KR102421159 B1</t>
  </si>
  <si>
    <t>I-000227796659</t>
  </si>
  <si>
    <t>20 years from 2021-12-06 (file date)</t>
  </si>
  <si>
    <t>https://patentscout.innography.com/share/sDIYjjLKm3SvhlKcDGfJPw%3D%3D</t>
  </si>
  <si>
    <t>2022-06-29-DECISION TO GRANT OR REGISTRATION OF PATENT RIGHT|2022-07-11-WRITTEN DECISION TO GRANT</t>
  </si>
  <si>
    <t>https://patentscout.innography.com/share/sDIYjjLKm3SvhlKcDGfJPw%3D%3D/download</t>
  </si>
  <si>
    <t>https://v3.espacenet.com/publicationDetails/biblio?CC=KR&amp;NR=102421159B1&amp;KC=B1&amp;FT=D&amp;date=20220714&amp;DB=EPODOC&amp;locale=</t>
  </si>
  <si>
    <t>KR20102421159 B1</t>
  </si>
  <si>
    <t>1.  A terminal (2 ), a device (6 ) for collecting various data, and a server ( 4 ) As a copyright infringement analysis system through the similarity analysis of contents, including, the server 4 registers and manages information on tangible and intangible assets traded in the virtual reality world, collects images and metadata, After pre-processing the collected data by the preprocessor 7 , real-time analysis and classification by an artificial intelligence algorithm, 3D modeling of items or new data, and constructing a metaverse that expresses tangible items in a complex metaverse virtual reality space part (3 );a content generation unit 5 that generates a creation in the complex metaverse virtual reality;a content registration unit 8 that registers information related to plagiarism, copyright violation, and content related to the metaverse content generated by the content generating unit 5 through artificial intelligence analysis;a unit price calculation unit 9 for calculating a unit price of metaverse contents registered by the contents registration unit 57 ;a content exchange 11 that conducts transactions for metaverse content online; and a revenue settlement unit 13 that settles revenue of metaverse data published or traded through the content exchange 11 ;The content registration unit 57 includes a similarity analysis module 45 for comparing newly registered metaverse content with existing metaverse content; And it includes a violation determination module 47 that determines whether intellectual property rights are infringed according to the similarity analysis result, and the metaverse construction unit 3 registers and stores information on tangible and intangible assets traded in the real world. a managed item registration unit 18 ; a data collection unit 15 for collecting images and metadata received according to the user's device 6 and location-based signals; a data analysis unit 22 for pre-processing the collected data and then analyzing and classifying the collected data in real time by an artificial intelligence algorithm; an item generating unit 20 for 3D modeling an item or new data registered as a 2D or 3D image using the image and metadata received through the data analysis unit 22 ;
A virtual reality construction unit (3 ) that connects the item modeled in the item creation unit (20 ) and the item product information matched in the item registration unit (18 ) to express a tangible item in a complex metaverse virtual reality space; Copyright infringement analysis system through similarity analysis of metaverse contents.</t>
  </si>
  <si>
    <t>2.  A terminal (2 ), a device (6 ) for collecting various data, and a server ( 4 ) A system for analyzing copyright infringement through a similarity analysis of content including, the server 4 comprising: an input unit 53 to which the generated content is input; a feature point extraction unit 55 for classifying the inputted content and extracting feature points; a pre-processing unit 57 for pre-processing the content; a sequence conversion unit 59 that performs sequence processing on the content data; a similarity analysis module 45 for comparing newly registered content with existing registered content;
And a violation determination module 47 that determines whether the intellectual property right is infringed according to the similarity analysis result, and the sequence converter 59 parallelly processes the preprocessed data file through a Map function to extract an event record. Copyright infringement analysis system (1 ) through similarity analysis of content that converts the time set in the data file into a sequence number, and collects the converted data into a sequence number in parallel through a reduce function to create a sequence (1 ) .</t>
  </si>
  <si>
    <t>6.  The similarity analysis engine ( 34 ), GPU (35 ), ALSA (Advanced Linux Sound Architecture; 36 ), ALVA (38 ), RTSP (Real Time Streaming Protocol; 40 ), API (42 ), through similarity analysis of content including communication module Copyright Infringement Analysis System (1 ).</t>
  </si>
  <si>
    <t>KR101943585 B1 | KR102113634 B1 | KR102130750 B1 | KR102359471 B1 | KR20150039113 A | KR20200017153 A | KR20210022944 A</t>
  </si>
  <si>
    <t>The present invention relates to a system and method for providing user-customized color content for a preferred color using a biosignal and receives a user&amp;#39;s biometric information activity information and medical information through a VR device and based on this virtual reality An avatar can be created in the avatar information about the avatar can be provided to the metaverse platform and while the user is watching the experience video the brain wave score and expression score are calculated based on the user&amp;#39;s brain wave information and user image and derive customized color ratio information based on the evaluation score that is the sum of the EEG score and the expression score and apply the customized color ratio information to the content provided by the metaverse platform and based on the customized color ratio information It relates to a system and method for recommending a color counselor and providing user-customized color content for a preferred color using biosignals. The details of the projects that supported this invention are as follows. [Project No.] GRRC-Gacheon 2022 (B03) [Ministry] Gyeonggi-do [Research project name] Gyeonggi Province Regional Cooperation Research Center [Research project name] AI-based healthcare content development [Organization] Gachon University Industry-Academic Cooperation Foundation [Research Period] 2021.07.01 ~ 2022.06.30.</t>
  </si>
  <si>
    <t>System and method for providing user-customized color content for preferred colors using biosignals</t>
  </si>
  <si>
    <t>KR20220034921A</t>
  </si>
  <si>
    <t>A system for providing user-customized color content for a preferred color using biosignals, comprising: an HMD mounted to a user to provide images and sounds for virtual reality, and to detect the user's voice; a camera device for obtaining a user image including a user's expression and photographing the user's appearance to derive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customized color ratio information; and receiving the information on the avatar and the customized color ratio information from the avatar management unit, applying the information about the avatar to the user's activities in the metaverse platform, and applying the customized color ratio information to the content provided by the metaverse platform a metaverse platform applied to; and wherein the avatar management unit communicates with a VR device worn by the user, provides information about virtual reality to the VR device, and generates the user's avatar to a VR service unit providing a plurality of virtual reality contents to a user;an avatar update unit that provides information on the avatar to the metaverse platform, receives interaction information that a user has interacted with using the avatar on the metaverse platform, and updates the avatar; and a machine-learned inference model, and a plurality of healings based on the user image including the user's expression received from the camera device, the user's EEG information received from the EEG and the machine-learned inference model. A custom color ratio derivation unit that derives an evaluation score for each healing image of an experience image including an image, and derives the customized color ratio information based on the evaluation score; Including, the metaverse platform, the a custom color ratio application unit for receiving the customized color ratio information from the custom color ratio derivation unit, and applying a color for a component included in the content provided by the metaverse platform based on the customized color ratio information; and a color counselor recommendation unit for recommending a color counselor based on the customized color ratio information; a customized color content providing unit comprising; and an interaction information generating unit that generates interaction information that has been interacted with according to a user's activity in the metaverse platform.</t>
  </si>
  <si>
    <t>A system for providing user-customized color content for a preferred color using biosignals, comprising: an HMD mounted to a user to provide images and sounds for virtual reality, and to detect the user's voice; a camera device for obtaining a user image including a user's expression and photographing the user's appearance to derive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customized color ratio information; and receiving the information on the avatar and the customized color ratio information from the avatar management unit, applying the information about the avatar to the user's activities in the metaverse platform, and applying the customized color ratio information to the content provided by the metaverse platform a metaverse platform applied to; and wherein the avatar management unit communicates with a VR device worn by the user, provides information about virtual reality to the VR device, and generates the user's avatar to a VR service unit providing a plurality of virtual reality contents to a user;an avatar update unit that provides information on the avatar to the metaverse platform, receives interaction information that a user has interacted with using the avatar on the metaverse platform, and updates the avatar; and a machine-learned inference model, and a plurality of healings based on the user image including the user's expression received from the camera device, the user's EEG information received from the EEG and the machine-learned inference model. A custom color ratio derivation unit that derives an evaluation score for each healing image of an experience image including an image, and derives the customized color ratio information based on the evaluation score; Including, the metaverse platform, the a custom color ratio application unit for receiving the customized color ratio information from the custom color ratio derivation unit, and applying a color for a component included in the content provided by the metaverse platform based on the customized color ratio information; and a color counselor recommendation unit for recommending a color counselor based on the customized color ratio information; a customized color content providing unit comprising; and an interaction information generating unit that generates interaction information that has been interacted with according to a user's activity in the metaverse platform.
The method according to claim 1, wherein the experience image includes a plurality of healing images, each of the plurality of healing images is an image of the same length produced in different base colors, and a predetermined time at a time point when the type of the healing image is different A system that provides user-customized color content while displaying a black screen.
The method according to claim 1, wherein the custom color ratio deriving unit, the experience image providing step of providing the experience image to the user;an expression point calculation step of receiving a user image including a user expression of the user from the camera device while one healing image included in the experience image is provided to the user, and calculating an expression score based on the user expression;While one healing image included in the experience image is provided to the user, receiving the user's EEG information from the EEG meter, and calculating the EEG score based on the EEG information; and an evaluation score calculating step of calculating an evaluation score by adding the expression score and the EEG score; and performing the expression score calculation step to the evaluation score calculation step for each of the plurality of healing images included in the experience image A system that provides user-customized color content.
The base of the corresponding healing image according to claim 3, wherein the custom color ratio derivation unit further performs a custom color ratio derivation step, and the custom color ratio derivation step is in proportion to the evaluation score calculated for each of the plurality of healing images. A system that provides user-customized color content that derives customized color ratio information so that the color ratio is assigned.
The method according to claim 1, wherein the custom color content providing unit includes a custom color ratio application unit, and the custom color ratio application unit is a background, items, avatar clothes, avatars, which are components included in the content provided by the metaverse platform. A system for providing user-customized color content that applies the color of at least one component of hair color based on the customized color ratio information.
The method according to claim 1, wherein the customized color content providing unit includes a color counselor recommendation unit, and the color counselor recommendation unit, the color counselor color comprising information about the color counselor and the number of times the color counselor consulted with a client who prefers a specific color. A system for providing user-customized color content, including a counselor DB, and deriving a recommended color counselor based on the customized color ratio information and the counseling frequency information.
The method according to claim 1, wherein the avatar update unit provides an avatar information providing step of providing information on the avatar to a metaverse platform;an interaction information receiving step of receiving interaction information corresponding to the avatar from the metaverse platform; and an avatar update step of extracting avatar-related information from the interaction information and updating the avatar based on the avatar-related information.
The method according to claim 1, wherein the VR service unit, A virtual reality implementation unit that can be used only by the user and implements a virtual reality in which the plurality of virtual reality contents are provided; a VR communication unit that communicates with the VR device to exchange information; the user's biometric information received from the VR device;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generated in the virtual reality, and update an appearance of the avatar whenever the avatar is performed, wherein the biometric information is transmitted through the camera device. input image information; EEG information of the user measured by the EEG; and the user's pulse information measured by the pulse meter.
The method according to claim 8, wherein the avatar generator derives each appearance feature information from a plurality of the image information, averages the plurality of appearance feature information to derive a character determination parameter in the form of a one-dimensional vector, and the character a basic appearance determining unit that determines a basic appearance of the avatar based on the determination parameter; an aging information determining unit for determining aging information of an avatar by inputting the biometric information into one or more artificial neural network models, and adding a first graphic effect corresponding to the aging information to the basic appearance;a movement speed determiner configured to determine the movement speed of the avatar in a manner that increases the movement speed as the movement distance or number of steps increases, based on the movement distance or number of steps for a preset time derived from the user's smartphone; and determining disease information of the avatar based on medical information including at least one medical history input by the user, and adding a second graphic effect corresponding to the disease information to the basic appearance to which the first graphic effect is added. A system for providing user-customized color content, including; a disease information determination unit.
A method of providing user-customized color content in a system that provides user-customized color content for a preferred color using biosignals, wherein the system is mounted to a user to provide images and sounds for virtual reality, and HMD that detects voice; a camera device for obtaining a user image including a user's expression and photographing the user's appearance to derive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customized color ratio information; and receiving information about the avatar and customized color ratio information from the avatar management unit, applying the information about the avatar to the user's activities in the metaverse platform, and applying the customized color ratio information to the content provided by the metaverse platform. and a metaverse platform to be applied, wherein the method includes, by the avatar management unit, communicating with a VR device worn by the user, providing information about virtual reality to the VR device, and providing the user's avatar VR service step of generating a plurality of virtual reality contents to the user;An avatar update in which the avatar management unit provides information on the avatar to the metaverse platform, receives interaction information that a user has interacted with using the avatar on the metaverse platform, and updates the avatar step;The avatar management unit includes a machine-learned inference model, the user image including the user's expression received from the camera device, the user's EEG information received from the EEG, and the machine-learned inference model. a custom color ratio derivation step of deriving an evaluation score for each healing image of an experience image including a plurality of healing images based on the evaluation score, and deriving the customized color ratio information based on the evaluation score;a custom color ratio application step of applying, by the metaverse platform, a color for a component included in the content provided by the metaverse platform based on the custom color ratio information; and a color counselor recommendation step of recommending a color counselor based on the customized color ratio information; a customized color content providing step comprising; and an interaction information generating step of generating, by the metaverse platform, interaction information interacted with according to a user's activity in the metaverse platform;</t>
  </si>
  <si>
    <t>Taeg, Keun Whangbo|Gi, Sung Oh|Won, Jun Jung|Kim, Je Hyun</t>
  </si>
  <si>
    <t>G06Q05010000 | G02B02701000 | G06N02000000 | G06T01340000 | G06T01900000 | H04N01333200</t>
  </si>
  <si>
    <t>KR102437583B1</t>
  </si>
  <si>
    <t>KR102437583 B1</t>
  </si>
  <si>
    <t>I-000229601180</t>
  </si>
  <si>
    <t>https://patentscout.innography.com/share/ARUkH1LyZuIDxXq4EqKNwQ%3D%3D</t>
  </si>
  <si>
    <t>2022-08-22-DECISION TO GRANT OR REGISTRATION OF PATENT RIGHT|2022-08-24-WRITTEN DECISION TO GRANT</t>
  </si>
  <si>
    <t>https://patentscout.innography.com/share/ARUkH1LyZuIDxXq4EqKNwQ%3D%3D/download</t>
  </si>
  <si>
    <t>https://v3.espacenet.com/publicationDetails/biblio?CC=KR&amp;NR=102437583B1&amp;KC=B1&amp;FT=D&amp;date=20220829&amp;DB=EPODOC&amp;locale=</t>
  </si>
  <si>
    <t>KR20102437583 B1</t>
  </si>
  <si>
    <t>1.  A system for providing user-customized color content for a preferred color using biosignals, comprising: an HMD mounted to a user to provide images and sounds for virtual reality, and to detect the user's voice; a camera device for obtaining a user image including a user's expression and photographing the user's appearance to derive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customized color ratio information; and receiving the information on the avatar and the customized color ratio information from the avatar management unit, applying the information about the avatar to the user's activities in the metaverse platform, and applying the customized color ratio information to the content provided by the metaverse platform a metaverse platform applied to; and wherein the avatar management unit communicates with a VR device worn by the user, provides information about virtual reality to the VR device, and generates the user's avatar to a VR service unit providing a plurality of virtual reality contents to a user;an avatar update unit that provides information on the avatar to the metaverse platform, receives interaction information that a user has interacted with using the avatar on the metaverse platform, and updates the avatar; and a machine-learned inference model, and a plurality of healings based on the user image including the user's expression received from the camera device, the user's EEG information received from the EEG and the machine-learned inference model. A custom color ratio derivation unit that derives an evaluation score for each healing image of an experience image including an image, and derives the customized color ratio information based on the evaluation score; Including, the metaverse platform, the a custom color ratio application unit for receiving the customized color ratio information from the custom color ratio derivation unit, and applying a color for a component included in the content provided by the metaverse platform based on the customized color ratio information; and a color counselor recommendation unit for recommending a color counselor based on the customized color ratio information; a customized color content providing unit comprising; and an interaction information generating unit that generates interaction information that has been interacted with according to a user's activity in the metaverse platform.</t>
  </si>
  <si>
    <t>10.  A method of providing user-customized color content in a system that provides user-customized color content for a preferred color using biosignals, wherein the system is mounted to a user to provide images and sounds for virtual reality, and HMD that detects voice; a camera device for obtaining a user image including a user's expression and photographing the user's appearance to derive image information of the user; an EEG attached to the user's head to measure the user's EEG; a pulse meter attached to the user's wrist to measure the user's pulse; and a motion sensing device for measuring the user's movement; a VR device comprising;an avatar management unit that generates an avatar based on user information collected through the VR device and generates customized color ratio information; and receiving information about the avatar and customized color ratio information from the avatar management unit, applying the information about the avatar to the user's activities in the metaverse platform, and applying the customized color ratio information to the content provided by the metaverse platform. and a metaverse platform to be applied, wherein the method includes, by the avatar management unit, communicating with a VR device worn by the user, providing information about virtual reality to the VR device, and providing the user's avatar VR service step of generating a plurality of virtual reality contents to the user;An avatar update in which the avatar management unit provides information on the avatar to the metaverse platform, receives interaction information that a user has interacted with using the avatar on the metaverse platform, and updates the avatar step;The avatar management unit includes a machine-learned inference model, the user image including the user's expression received from the camera device, the user's EEG information received from the EEG, and the machine-learned inference model. a custom color ratio derivation step of deriving an evaluation score for each healing image of an experience image including a plurality of healing images based on the evaluation score, and deriving the customized color ratio information based on the evaluation score;a custom color ratio application step of applying, by the metaverse platform, a color for a component included in the content provided by the metaverse platform based on the custom color ratio information; and a color counselor recommendation step of recommending a color counselor based on the customized color ratio information; a customized color content providing step comprising; and an interaction information generating step of generating, by the metaverse platform, interaction information interacted with according to a user's activity in the metaverse platform;</t>
  </si>
  <si>
    <t>According to various embodiments the job search platform providing server that creates a virtual space inside the company and provides the job seekers with an indirect experience service for the company is based on the job search information obtained from the job seeker&amp;#39;s terminal of the job seeker the member a member management unit for registering as a member and registering the person in charge of the job offer as a member based on the job information obtained from the terminal of the person in charge of the job posting; a job search matching unit that matches the job seeker with the job seeker based on the job information and the job search information; Create a metaverse space based on the floor plan and floor height information of the corporate building obtained from the recruiter terminal create a virtual object corresponding to an object in real space and use the created metaverse space and the virtual object to the job seeker a metaverse service providing unit outputting each of the first device and the second device of the hiring manager; an object identification unit for identifying the object to determine a type of the object; and transmitting the question image obtained from the second device to the first device obtaining an answer voice signal of the job seeker based on an audio system mounted on the first device and applying the obtained answer voice signal to the second device 2 It may include an interview process unit that outputs through a speaker mounted on the device.</t>
  </si>
  <si>
    <t>Method and apparatus for creating a virtual space inside a company to provide job seekers with an indirect experience service for the company</t>
  </si>
  <si>
    <t>job seeker|job search|voice signal|signal</t>
  </si>
  <si>
    <t>KR20220084817A</t>
  </si>
  <si>
    <t>In the job search platform providing server that creates a virtual space for the inside of a company and provides an indirect experience service for the job seeker to the company, the job seeker is registered as a member based on the job search information obtained from the job seeker's terminal, a member management unit for registering the person in charge of recruitment as a member based on the job information obtained from the terminal of the person in charge of the job offer;a job search matching unit that matches the job seeker with the job seeker based on the job information and the job search information;A metaverse space is generated based on the floor plan and floor height information of a corporate building obtained from the recruiter terminal, and a virtual object corresponding to an object of a real space corresponding to the inside of the company is generated, and the generated metaverse space and a metaverse service providing unit that outputs the virtual object to a first device that is a metaverse device of the job seeker and a second device that is a metaverse device of the job seeker.an object identification unit that identifies the object in the real space corresponding to the inside of the enterprise, determines the type of the object, and provides information on the determined type of the object to the metaverse service provider; Transmitting the question image obtained from the second device to the first device, obtaining the job seeker's answer voice signal based on the audio system mounted on the first device, and applying the obtained answer voice signal to the second device an interview process unit that outputs through a speaker mounted on the device; and a job search interest determination unit configured to determine a job search interest level of the job seeker for the company based on a movement corresponding to the job seeker's avatar in the metaverse space, wherein the job search interest level determination unit is configured within the generated metaverse space. Tracks the path traveled by the job seeker's avatar, individual spaces where the job seeker's avatar moves within the metaverse space, the distance the job seeker's avatar moves in each of the individual spaces, and each of the individual spaces Based on the time that the job seeker's avatar stayed, the job seeker's interest in the company is determined, and the job search matching unit is, when the determined job search interest is greater than or equal to a preset reference level of interest, a recommended identifier in the job seeker information of the job seeker Including, listing the job seeker to the company's recommended job seeker list, and providing the job seeker list in which the job seeker is listed to the hiring manager terminal, the metaverse service providing unit, Information on the type of department for each office obtained from the recruiting officer terminal and determining the use of space for each individual space of the metaverse space based on the information about the use of each space within the company obtained from the recruiting officer terminal determines the type of department for each office based on information on the job seeker terminal, and the information on the department environment includes information about the average attendance time, average departure time, and average working time of the department, and business delivery including the department's business contents When a voice signal is output through the speaker of the first device, a business approval signal corresponding to the business delivery voice signal is obtained from the first device, and the business approval signal is obtained, A work list including the work contents of the department is provided to the job seeker terminal, and the metaverse service providing unit obtains an input signal indicating the current location of the job search manager from the job search manager terminal, and sends it to the second device. Acquires information about the current location of the recruiter through a built-in global positioning system (GPS) function, obtains direction information of the recruiter from the second device, and responds to the recruiter based on the direction information locating the current location of the avatar in the metaverse space, and real-time based on real-time distance data obtained from a distance sensor mounted on the second device and real-time image data obtained from an image sensor mounted on the second device generating spatial information, comparing the generated real-time spatial information with the metaverse space, and maintaining an overlapping portion between the real-time spatial information and the metaverse space; A different part transforms the metaverse space based on the real-time spatial information, and the object identification unit is an object based on point coordinates of distance data obtained from the distance sensor and pixel values of image data obtained from the image sensor. to obtain point cloud information corresponding to an object within a sensing radius of the distance sensing sensor through the 360-degree rotatable distance sensing sensor and the image sensor, and the point cloud information is the sensing radius of the distance sensing sensor is mapped corresponding to the azimuth of, the point cloud information includes distance information from the distance sensor to the object, and the object identification unit quantizes the point cloud information at a constant quantization interval at an azimuth between the sensing radii,, frame the quantized point cloud information based on the azimuth according to the rotation angle or rotation direction measured by the distance detection sensor, Among the quantized frames based on the point cloud information, for two frames that are temporally adjacent to each other, the first of first distance values that are distance information of points mapped to a specific azimuth in the first frame A difference frame is generated by differentiating the average value and second average values of second distance values that are distance information of each of the points mapped to the specific azimuth in the second frame, and points mapped to the specific azimuth in the generated difference frame. When the average value of the third distance values, which is each distance information, is equal to or greater than a preset threshold, the object is determined as the identification target object, and the object is identified based on the image data for the object determined as the identification target object., determine the type of the object using a pre-supervised object guess model, and the object guess model, Supervised learning is performed using the image data for the object and the labeled data for the object recognized from the image data by the object guess model learning unit, the labeled data is data labeling the type of the object, The object identification unit may include converting the image data into an input image of a preset size to the supervised object guessing model, inputting the image data into the object guessing model, and based on the output of the object guessing model, the image data included in the image data A factory mediation platform providing server determines a type of an object, and wherein the metaverse service providing unit generates a virtual object corresponding to the object in the metaverse space according to the determined type of the object.</t>
  </si>
  <si>
    <t>G06Q01010000 | G01S01901000 | G06N00308000 | G06Q01006000 | G06Q05010000 | G06T00750000 | G06T01340000 | G06T01900000</t>
  </si>
  <si>
    <t>I-000231723440</t>
  </si>
  <si>
    <t>https://patentscout.innography.com/share/XXn4-TOlLTcHc2krTi7PFg%3D%3D</t>
  </si>
  <si>
    <t>https://patentscout.innography.com/share/XXn4-TOlLTcHc2krTi7PFg%3D%3D/download</t>
  </si>
  <si>
    <t>https://v3.espacenet.com/publicationDetails/biblio?CC=KR&amp;NR=102456158B1&amp;KC=B1&amp;FT=D&amp;date=20221019&amp;DB=EPODOC&amp;locale=</t>
  </si>
  <si>
    <t>KR20102456158 B1</t>
  </si>
  <si>
    <t>1.  In the job search platform providing server that creates a virtual space for the inside of a company and provides an indirect experience service for the job seeker to the company, the job seeker is registered as a member based on the job search information obtained from the job seeker's terminal, a member management unit for registering the person in charge of recruitment as a member based on the job information obtained from the terminal of the person in charge of the job offer;a job search matching unit that matches the job seeker with the job seeker based on the job information and the job search information;A metaverse space is generated based on the floor plan and floor height information of a corporate building obtained from the recruiter terminal, and a virtual object corresponding to an object of a real space corresponding to the inside of the company is generated, and the generated metaverse space and a metaverse service providing unit that outputs the virtual object to a first device that is a metaverse device of the job seeker and a second device that is a metaverse device of the job seeker.an object identification unit that identifies the object in the real space corresponding to the inside of the enterprise, determines the type of the object, and provides information on the determined type of the object to the metaverse service provider; Transmitting the question image obtained from the second device to the first device, obtaining the job seeker's answer voice signal based on the audio system mounted on the first device, and applying the obtained answer voice signal to the second device an interview process unit that outputs through a speaker mounted on the device; and a job search interest determination unit configured to determine a job search interest level of the job seeker for the company based on a movement corresponding to the job seeker's avatar in the metaverse space, wherein the job search interest level determination unit is configured within the generated metaverse space. Tracks the path traveled by the job seeker's avatar, individual spaces where the job seeker's avatar moves within the metaverse space, the distance the job seeker's avatar moves in each of the individual spaces, and each of the individual spaces Based on the time that the job seeker's avatar stayed, the job seeker's interest in the company is determined, and the job search matching unit is, when the determined job search interest is greater than or equal to a preset reference level of interest, a recommended identifier in the job seeker information of the job seeker Including, listing the job seeker to the company's recommended job seeker list, and providing the job seeker list in which the job seeker is listed to the hiring manager terminal, the metaverse service providing unit, Information on the type of department for each office obtained from the recruiting officer terminal and determining the use of space for each individual space of the metaverse space based on the information about the use of each space within the company obtained from the recruiting officer terminal determines the type of department for each office based on information on the job seeker terminal, and the information on the department environment includes information about the average attendance time, average departure time, and average working time of the department, and business delivery including the department's business contents When a voice signal is output through the speaker of the first device, a business approval signal corresponding to the business delivery voice signal is obtained from the first device, and the business approval signal is obtained, A work list including the work contents of the department is provided to the job seeker terminal, and the metaverse service providing unit obtains an input signal indicating the current location of the job search manager from the job search manager terminal, and sends it to the second device. Acquires information about the current location of the recruiter through a built-in global positioning system (GPS) function, obtains direction information of the recruiter from the second device, and responds to the recruiter based on the direction information locating the current location of the avatar in the metaverse space, and real-time based on real-time distance data obtained from a distance sensor mounted on the second device and real-time image data obtained from an image sensor mounted on the second device generating spatial information, comparing the generated real-time spatial information with the metaverse space, and maintaining an overlapping portion between the real-time spatial information and the metaverse space; A different part transforms the metaverse space based on the real-time spatial information, and the object identification unit is an object based on point coordinates of distance data obtained from the distance sensor and pixel values of image data obtained from the image sensor. to obtain point cloud information corresponding to an object within a sensing radius of the distance sensing sensor through the 360 -degree rotatable distance sensing sensor and the image sensor, and the point cloud information is the sensing radius of the distance sensing sensor is mapped corresponding to the azimuth of, the point cloud information includes distance information from the distance sensor to the object, and the object identification unit quantizes the point cloud information at a constant quantization interval at an azimuth between the sensing radii,, frame the quantized point cloud information based on the azimuth according to the rotation angle or rotation direction measured by the distance detection sensor, Among the quantized frames based on the point cloud information, for two frames that are temporally adjacent to each other, the first of first distance values that are distance information of points mapped to a specific azimuth in the first frame A difference frame is generated by differentiating the average value and second average values of second distance values that are distance information of each of the points mapped to the specific azimuth in the second frame, and points mapped to the specific azimuth in the generated difference frame. When the average value of the third distance values, which is each distance information, is equal to or greater than a preset threshold, the object is determined as the identification target object, and the object is identified based on the image data for the object determined as the identification target object., determine the type of the object using a pre-supervised object guess model, and the object guess model, Supervised learning is performed using the image data for the object and the labeled data for the object recognized from the image data by the object guess model learning unit, the labeled data is data labeling the type of the object, The object identification unit may include converting the image data into an input image of a preset size to the supervised object guessing model, inputting the image data into the object guessing model, and based on the output of the object guessing model, the image data included in the image data A factory mediation platform providing server determines a type of an object, and wherein the metaverse service providing unit generates a virtual object corresponding to the object in the metaverse space according to the determined type of the object.</t>
  </si>
  <si>
    <t>KR20090030133 A | KR102194240 B1 | KR20110079104 A | KR20130057019 A | KR20130128026 A | KR20140107769 A</t>
  </si>
  <si>
    <t>2022-04-08</t>
  </si>
  <si>
    <t>The present invention provides a class information sharing system by linking teacher and student information based on a learning management system (LMS) and real-time as the teacher opens an online class by selecting an online class method according to the need when opening an online class Interactive and one-way online classes metaverse-based virtual classrooms classes using learning contents and classes using a screen-based real-time 1:1 Q&amp;A solution are conducted and class information is shared with teachers through the Learning Management System (LMS). The online class timetables of the students who become students are automatically registered allowing non-face-to-face classes to be conducted simply and efficiently on one platform rather than on each platform according to the class method and student attendance through interworking with the web messenger and learning management system (LMS) Check and verify real-time access non-face-to-face parent meetings using online class solutions career/grade counseling school portal operation for community management of teachers and students classes grades Statistics and management of information collected from the integrated online education platform regarding attendance etc. is used for existing public education as well as allowing private institutes and educational content developers to trade knowledge through this platform. We intend to provide an integrated online education platform system and integrated online education method that can support 24-hour learning through real-time screen image-based video education and chatbot functions in a classroom method using learning contents.</t>
  </si>
  <si>
    <t>Integrated online education platform system and integrated online education method</t>
  </si>
  <si>
    <t>Heyumict Co., Ltd.</t>
  </si>
  <si>
    <t>Heyumin Co., Ltd.</t>
  </si>
  <si>
    <t>HEYUMIN CO., LTD.</t>
  </si>
  <si>
    <t>KR20210124073A</t>
  </si>
  <si>
    <t>a student/parent terminal 200 that requests inquiries and consultations during video education through learning content accessed through the web or an app;a teacher terminal 300 that responds to a query requested by the student/parent terminal 200, performs counseling, and uploads the teacher's learning contents to the integrated online education platform server 100;and a learning management system (LMS) to link teacher and student information to establish a class information sharing system It is conducted as one of online classes, metaverse-based virtual classrooms, classes using learning content, and classes to which a screen-based real-time 1:1 Q&amp;A solution is applied, and a number of learning contents are uploaded and stored from the teacher terminal 300 School portal for student attendance and real-time access via web messenger and learning management system (LMS) linkage, parent meetings using online class solutions, career/grade counseling, and community management of teachers and students Statistics and management of information collected from the integrated online education platform on operations, classes, grades, and attendance,Integrated online education platform server 100 that supports knowledge transaction including the learning content through real-time interactive video remote technology; is configured to include, the integrated online education platform server 100 is, 200) and the communication unit 101 relaying the communication between the teacher terminal 300, the ID and password of the member student accessing the integrated online education platform server 100, and the content information being studied and the knowledge transaction of the member student. A member information unit 102 that stores information on whether to purchase and approve a course for course registration, a student attendance and learning progress record 103 that stores student attendance and learning progress for learning content, and creates or edits a class and manage the progress, establish a class information sharing system by linking teacher and student information,Class creation/ which alarms the class progress time with the student/parent terminal 200 and the teacher terminal 300 so that the online class timetable of students sharing class information with the teacher is registered and the online class can be easily conducted during the online class time Online for revision/progress management unit 104, class by day and time, real-time interactive online education for each class, real-time one-way online education, metaverse-based virtual classroom class, VOD education using learning contents and screen-based real-time education Class method, today's class name, time, teacher's name, description of today's class content, and the class schedule management unit 105 that manages the current class situation, the community by class, and a school that manages bulletin board-type services for notices A portal (bulletin board) management unit 106 and a personal information protection unit 107 that manages and protects personal information of students, parents, and teachers;Through the parent counseling management/content storage unit 108, which stores the counseling contents between the student/parent terminal 200 and the teacher terminal 300, and the student/parent terminal 200, the satisfaction of the student's lectures or counseling is evaluated The lecture/consultation satisfaction evaluation unit 109 and the class creation/modification/progress management unit 104 that are stored and stored provide a class information sharing system by linking teacher and student information for real-time interactive classes among classes created by the class creation/modification/progress management unit 104, The student/parent terminal 200 and the teacher terminal 300 alarm the real-time interactive class time so that the online class timetable of students sharing class information with the teacher is registered so that the online class can be conveniently conducted during the online class time. The real-time interactive class management unit 110 and the class creation/modification/progress management unit 104 provide a class information sharing system by linking the teacher and student information for a real-time one-way class among the classes created,The online class timetable of students sharing class information with the teacher is registered so that the real-time one-way class progress time is notified to the student/parent terminal 200 and the teacher terminal 300 so that the online class can be conveniently conducted during the online class time. A real-time one-way class management unit 111 and a learning content management unit 112 that manages learning contents including real-time interactive, one-way online education, metaverse-based virtual classroom, VOD education using learning content, and screen-based real-time education, and , a 1:1 real-time counseling solution management unit 113 that calls, waits, and allocates the teacher terminal 300 when a consultation request is received from the student/parent terminal 200, and metaverse-based virtual classroom education A metaverse virtual space data storage unit 114 in which the used virtual classroom data is stored;The character storage 115, which stores various types of characters so that students who have selected metaverse-based virtual classroom education as a class participation method, can select their own characters, and VOD used as learning content related to knowledge trade A knowledge transaction management unit 117 that manages upload, update, and deletion, purchase and approval of lectures from the student/parent terminal 200 for learning content, and a learning content and lecture/consultation A database 118 and the communication unit 101 in which satisfaction evaluation contents are stored, and data that can support learning 24 hours a day by storing the contents of responses to students' questions in preparation for the absence of teachers by responding to students' questions , member information section 102, student attendance and learning progress record section 103, class creation/modification/progress management section 104, class timetable management section 105, school portal (bulletin board) management section 106, personal information protection section ( 107), parent counseling management/content storage unit (108),Lecture/consultation satisfaction evaluation unit 109, real-time interactive class management unit 110, real-time one-way class management unit 111, learning content management unit 112, 1:1 real-time counseling solution management unit 113, metaverse virtual space data storage unit 114, character storage unit 115, knowledge transaction management unit 117, and a control unit 116 for controlling the database 118 with an AI chatbot, the student/parent terminal 200 and the teacher terminal 300 is an integrated online education platform system, characterized in that it is composed of one or more of a smartphone, a smart pad, and a PC, respectively.</t>
  </si>
  <si>
    <t>a student/parent terminal 200 that requests inquiries and consultations during video education through learning content accessed through the web or an app;a teacher terminal 300 that responds to a query requested by the student/parent terminal 200, performs counseling, and uploads the teacher's learning contents to the integrated online education platform server 100;
and a learning management system (LMS) to link teacher and student information to establish a class information sharing system It is conducted as one of online classes, metaverse-based virtual classrooms, classes using learning content, and classes to which a screen-based real-time 1:1 Q&amp;A solution is applied, and a number of learning contents are uploaded and stored from the teacher terminal 300 School portal for student attendance and real-time access via web messenger and learning management system (LMS) linkage, parent meetings using online class solutions, career/grade counseling, and community management of teachers and students Statistics and management of information collected from the integrated online education platform on operations, classes, grades, and attendance,
Integrated online education platform server 100 that supports knowledge transaction including the learning content through real-time interactive video remote technology; is configured to include, the integrated online education platform server 100 is, 200) and the communication unit 101 relaying the communication between the teacher terminal 300, the ID and password of the member student accessing the integrated online education platform server 100, and the content information being studied and the knowledge transaction of the member student. A member information unit 102 that stores information on whether to purchase and approve a course for course registration, a student attendance and learning progress record 103 that stores student attendance and learning progress for learning content, and creates or edits a class and manage the progress, establish a class information sharing system by linking teacher and student information,
Class creation/ which alarms the class progress time with the student/parent terminal 200 and the teacher terminal 300 so that the online class timetable of students sharing class information with the teacher is registered and the online class can be easily conducted during the online class time Online for revision/progress management unit 104, class by day and time, real-time interactive online education for each class, real-time one-way online education, metaverse-based virtual classroom class, VOD education using learning contents and screen-based real-time education Class method, today's class name, time, teacher's name, description of today's class content, and the class schedule management unit 105 that manages the current class situation, the community by class, and a school that manages bulletin board-type services for notices A portal (bulletin board) management unit 106 and a personal information protection unit 107 that manages and protects personal information of students, parents, and teachers;
Through the parent counseling management/content storage unit 108, which stores the counseling contents between the student/parent terminal 200 and the teacher terminal 300, and the student/parent terminal 200, the satisfaction of the student's lectures or counseling is evaluated The lecture/consultation satisfaction evaluation unit 109 and the class creation/modification/progress management unit 104 that are stored and stored provide a class information sharing system by linking teacher and student information for real-time interactive classes among classes created by the class creation/modification/progress management unit 104, The student/parent terminal 200 and the teacher terminal 300 alarm the real-time interactive class time so that the online class timetable of students sharing class information with the teacher is registered so that the online class can be conveniently conducted during the online class time. The real-time interactive class management unit 110 and the class creation/modification/progress management unit 104 provide a class information sharing system by linking the teacher and student information for a real-time one-way class among the classes created,
The online class timetable of students sharing class information with the teacher is registered so that the real-time one-way class progress time is notified to the student/parent terminal 200 and the teacher terminal 300 so that the online class can be conveniently conducted during the online class time. A real-time one-way class management unit 111 and a learning content management unit 112 that manages learning contents including real-time interactive, one-way online education, metaverse-based virtual classroom, VOD education using learning content, and screen-based real-time education, and , a 1:1 real-time counseling solution management unit 113 that calls, waits, and allocates the teacher terminal 300 when a consultation request is received from the student/parent terminal 200, and metaverse-based virtual classroom education A metaverse virtual space data storage unit 114 in which the used virtual classroom data is stored;
The character storage 115, which stores various types of characters so that students who have selected metaverse-based virtual classroom education as a class participation method, can select their own characters, and VOD used as learning content related to knowledge trade A knowledge transaction management unit 117 that manages upload, update, and deletion, purchase and approval of lectures from the student/parent terminal 200 for learning content, and a learning content and lecture/consultation A database 118 and the communication unit 101 in which satisfaction evaluation contents are stored, and data that can support learning 24 hours a day by storing the contents of responses to students' questions in preparation for the absence of teachers by responding to students' questions , member information section 102, student attendance and learning progress record section 103, class creation/modification/progress management section 104, class timetable management section 105, school portal (bulletin board) management section 106, personal information protection section ( 107), parent counseling management/content storage unit (108),
Lecture/consultation satisfaction evaluation unit 109, real-time interactive class management unit 110, real-time one-way class management unit 111, learning content management unit 112, 1:1 real-time counseling solution management unit 113, metaverse virtual space data storage unit 114, character storage unit 115, knowledge transaction management unit 117, and a control unit 116 for controlling the database 118 with an AI chatbot, the student/parent terminal 200 and the teacher terminal 300 is an integrated online education platform system, characterized in that it is composed of one or more of a smartphone, a smart pad, and a PC, respectively.
delete
The communication unit 101 relays communication between the student/parent terminal 200 and the teacher terminal 300, and the ID and password of a member student who accesses the integrated online education platform server 100, as well as information on learning content and knowledge transactions. A member information unit 102 that stores information on whether or not to purchase and approve a course for a member student's course registration by the student, a student attendance and learning progress record unit 103 that stores the student's attendance and learning progress for learning content, and To create, edit, and manage progress, a class information sharing system is established by linking teacher and student information. Class creation/modification/progress management unit 104 that alarms the class progress time with the student/parent terminal 200 and the teacher terminal 300, classes by day and time, real-time interactive online education for each class, real-time one-way Online education, metaverse-based virtual classroom classes,
Online class method for VOD education using learning contents and screen-based real-time education, today's class name, time, teacher's name, description of today's class content, and the class schedule management unit 105, which manages the current class situation, and the class A school portal (bulletin board) management unit 106 that manages bulletin board-type services for separate communities and notices, a personal information protection unit 107 that manages and protects personal information of students, parents, and teachers, and a student/parent terminal A lecture in which the satisfaction of the student's lecture or consultation is evaluated and stored through the parent counseling management/content storage unit 108 in which the counseling content between 200 and the teacher terminal 300 is stored, and the student/parent terminal 200 / Counseling satisfaction evaluation unit 109 and the class creation/modification/progress management unit 104 provide a class information sharing system by linking teacher and student information for a real-time interactive class among the classes created,
The student/parent terminal 200 and the teacher terminal 300 alarm the real-time interactive class time so that the online class timetable of students sharing class information with the teacher is registered so that the online class can be conveniently conducted during the online class time. The real-time interactive class management unit 110 and the class creation/modification/progress management unit 104 provide a class information sharing system by linking the teacher and student information for a real-time one-way class among the classes created by the class creation/modification/progress management unit 104, and the teacher and class information Real-time one-way class management unit ( 111) and a learning content management unit 112 that manages learning contents including real-time interactive, one-way online education, metaverse-based virtual classroom, VOD education using learning content, and screen-based real-time education;
When a consultation request is received from the student/parent terminal 200, the teacher terminal 300 is called, waiting, and assigned 1:1 real-time consultation solution management unit 113 and metaverse-based virtual classroom education The metaverse virtual space data storage unit 114 in which virtual classroom data is stored, and various types of characters are stored so that students who have selected metaverse-based virtual classroom education as a class participation method can select their own characters. It manages the character storage unit 115 and the VOD service used as learning content related to knowledge transaction, and manages upload, update, and deletion, and lectures from the student/parent terminal 200 on the learning content. The knowledge transaction management unit 117 that manages purchase and approval, learning contents and lecture/consultation satisfaction evaluation contents are stored,
A database 118, the communication unit 101, and the member information unit 102, provided with data that can support learning 24 hours a day by storing the contents of responses to students' inquiries in preparation for the absence of the teacher by responding to the students' questions , student attendance and learning progress record book (103), class creation/modification/progress management section (104), class timetable management section (105), school portal (bulletin board) management section (106), personal information protection section (107), parent counseling management /Content storage unit 108, lecture/consultation satisfaction evaluation unit 109, real-time interactive class management unit 110, real-time one-way class management unit 111, learning content management unit 112, 1:1 real-time counseling solution management unit 113 ), metaverse virtual space data storage unit 114, character storage unit 115, knowledge transaction management unit 117, and a control unit 116 for controlling the database 118 with an AI chatbot, the learning management system (LMS) based on linking teacher and student information to prepare a class information sharing system,
Real-time interactive, one-way online classes, metaverse-based virtual classrooms and learning contents, and screen-based real-time 1:1 queries as the teacher selects an online class method according to their needs when opening an online class and opens an online class It proceeds as one of the classes to which the response solution is applied, a number of learning contents are uploaded and stored from the teacher terminal 300, and the student's attendance and real-time access are checked through linking with the web messenger and the learning management system (LMS), Parent conferences using online class solutions, career/grade counseling, school portal operation for community management of teachers and students, statistics and management of information collected from the integrated online education platform about classes, grades, and attendance, and real-time conversations Integrated online education platform server 100 that supports knowledge transaction including the learning content through type video remote technology; when the teacher terminal transmits teacher information and lecture information (S100),
In the class creation/modification/progress management unit 104 of the integrated online education platform server 100, creating a virtual classroom based on teacher information and lecture information and disclosing a lecture timetable and online class method (S110); When purchasing a lecture using knowledge transaction, the student applies for lecture to the integrated online education platform server 100 through the terminal (S130), and when the course is approved, the integrated online education platform server 100 receives the course approval granting access rights to the student terminal (S140);The integrated online education platform server 100 shares class information by linking teacher and student information based on the learning management system (S150), and the class creation/modification/progress management unit of the integrated online education platform server 100 (104) is a step of sending a notice and class alarm to the course approval student terminal (S160);Attendance/real-time access is automatically checked in the integrated online education platform server 100 when logging into the student terminal during the class time (S170), and the student uses the student terminal for real-time two-way or one-way online classes, metaverse-based virtual classroom classes , a step in which an online class is conducted in a class method according to the class timetable in which one of the classes using the learning content or the screen-based real-time 1:1 Q&amp;A solution class is registered (S180, S180, S200, S210);The integrated online education platform server 100 interlocks with the learning management system to collect, statistically and manage information including students' classes, grades, and attendance (S700); The integrated online education platform server 100 connects to the teacher terminal selected by the parent through the parent terminal to connect the counseling connection (S800); and a step (S860) of which the parent evaluates the counseling through the parent terminal, and the evaluation is stored in the integrated online education platform server 100 (S860).
delete</t>
  </si>
  <si>
    <t>Woo, Seok Gyu</t>
  </si>
  <si>
    <t>G06Q05020000 | G06F00316000 | G06F01690350 | G06F01690380 | G06F02131000 | G06Q05010000 | G06T01900000 | G07C00938000 | H04N00714000</t>
  </si>
  <si>
    <t>KR102382385B1</t>
  </si>
  <si>
    <t>KR102382385 B1</t>
  </si>
  <si>
    <t>I-000224352107</t>
  </si>
  <si>
    <t>https://patentscout.innography.com/share/Tu5Berpzpfxvvgo9XxFS1Q%3D%3D</t>
  </si>
  <si>
    <t>2022-03-28-DECISION TO GRANT OR REGISTRATION OF PATENT RIGHT|2022-03-30-WRITTEN DECISION TO GRANT</t>
  </si>
  <si>
    <t>https://patentscout.innography.com/share/Tu5Berpzpfxvvgo9XxFS1Q%3D%3D/download</t>
  </si>
  <si>
    <t>https://v3.espacenet.com/publicationDetails/biblio?CC=KR&amp;NR=102382385B1&amp;KC=B1&amp;FT=D&amp;date=20220408&amp;DB=EPODOC&amp;locale=</t>
  </si>
  <si>
    <t>KR20102382385 B1</t>
  </si>
  <si>
    <t>1.  a student/parent terminal 200 that requests inquiries and consultations during video education through learning content accessed through the web or an app;a teacher terminal 300 that responds to a query requested by the student/parent terminal 200 , performs counseling, and uploads the teacher's learning contents to the integrated online education platform server 100 ;
and a learning management system (LMS) to link teacher and student information to establish a class information sharing system It is conducted as one of online classes, metaverse-based virtual classrooms, classes using learning content, and classes to which a screen-based real-time 1 :1 Q&amp;A solution is applied, and a number of learning contents are uploaded and stored from the teacher terminal 300 School portal for student attendance and real-time access via web messenger and learning management system (LMS) linkage, parent meetings using online class solutions, career/grade counseling, and community management of teachers and students Statistics and management of information collected from the integrated online education platform on operations, classes, grades, and attendance,
Integrated online education platform server 100 that supports knowledge transaction including the learning content through real-time interactive video remote technology; is configured to include, the integrated online education platform server 100 is, 200 ) and the communication unit 101 relaying the communication between the teacher terminal 300 , the ID and password of the member student accessing the integrated online education platform server 100 , and the content information being studied and the knowledge transaction of the member student. A member information unit 102 that stores information on whether to purchase and approve a course for course registration, a student attendance and learning progress record 103 that stores student attendance and learning progress for learning content, and creates or edits a class and manage the progress, establish a class information sharing system by linking teacher and student information,
Class creation/ which alarms the class progress time with the student/parent terminal 200 and the teacher terminal 300 so that the online class timetable of students sharing class information with the teacher is registered and the online class can be easily conducted during the online class time Online for revision/progress management unit 104 , class by day and time, real-time interactive online education for each class, real-time one-way online education, metaverse-based virtual classroom class, VOD education using learning contents and screen-based real-time education Class method, today's class name, time, teacher's name, description of today's class content, and the class schedule management unit 105 that manages the current class situation, the community by class, and a school that manages bulletin board-type services for notices A portal (bulletin board) management unit 106 and a personal information protection unit 107 that manages and protects personal information of students, parents, and teachers;
Through the parent counseling management/content storage unit 108 , which stores the counseling contents between the student/parent terminal 200 and the teacher terminal 300 , and the student/parent terminal 200 , the satisfaction of the student's lectures or counseling is evaluated The lecture/consultation satisfaction evaluation unit 109 and the class creation/modification/progress management unit 104 that are stored and stored provide a class information sharing system by linking teacher and student information for real-time interactive classes among classes created by the class creation/modification/progress management unit 104 , The student/parent terminal 200 and the teacher terminal 300 alarm the real-time interactive class time so that the online class timetable of students sharing class information with the teacher is registered so that the online class can be conveniently conducted during the online class time. The real-time interactive class management unit 110 and the class creation/modification/progress management unit 104 provide a class information sharing system by linking the teacher and student information for a real-time one-way class among the classes created,
The online class timetable of students sharing class information with the teacher is registered so that the real-time one-way class progress time is notified to the student/parent terminal 200 and the teacher terminal 300 so that the online class can be conveniently conducted during the online class time. A real-time one-way class management unit 111 and a learning content management unit 112 that manages learning contents including real-time interactive, one-way online education, metaverse-based virtual classroom, VOD education using learning content, and screen-based real-time education, and , a 1 :1 real-time counseling solution management unit 113 that calls, waits, and allocates the teacher terminal 300 when a consultation request is received from the student/parent terminal 200 , and metaverse-based virtual classroom education A metaverse virtual space data storage unit 114 in which the used virtual classroom data is stored;
The character storage 115 , which stores various types of characters so that students who have selected metaverse-based virtual classroom education as a class participation method, can select their own characters, and VOD used as learning content related to knowledge trade A knowledge transaction management unit 117 that manages upload, update, and deletion, purchase and approval of lectures from the student/parent terminal 200 for learning content, and a learning content and lecture/consultation A database 118 and the communication unit 101 in which satisfaction evaluation contents are stored, and data that can support learning 24 hours a day by storing the contents of responses to students' questions in preparation for the absence of teachers by responding to students' questions , member information section 102 , student attendance and learning progress record section 103 , class creation/modification/progress management section 104 , class timetable management section 105 , school portal (bulletin board) management section 106 , personal information protection section ( 107 ), parent counseling management/content storage unit (108 ),
Lecture/consultation satisfaction evaluation unit 109 , real-time interactive class management unit 110 , real-time one-way class management unit 111 , learning content management unit 112 , 1 :1 real-time counseling solution management unit 113 , metaverse virtual space data storage unit 114 , character storage unit 115 , knowledge transaction management unit 117 , and a control unit 116 for controlling the database 118 with an AI chatbot, the student/parent terminal 200 and the teacher terminal 300 is an integrated online education platform system, characterized in that it is composed of one or more of a smartphone, a smart pad, and a PC, respectively.</t>
  </si>
  <si>
    <t>3.  The communication unit 101 relays communication between the student/parent terminal 200 and the teacher terminal 300 , and the ID and password of a member student who accesses the integrated online education platform server 100 , as well as information on learning content and knowledge transactions. A member information unit 102 that stores information on whether or not to purchase and approve a course for a member student's course registration by the student, a student attendance and learning progress record unit 103 that stores the student's attendance and learning progress for learning content, and To create, edit, and manage progress, a class information sharing system is established by linking teacher and student information. Class creation/modification/progress management unit 104 that alarms the class progress time with the student/parent terminal 200 and the teacher terminal 300 , classes by day and time, real-time interactive online education for each class, real-time one-way Online education, metaverse-based virtual classroom classes,
Online class method for VOD education using learning contents and screen-based real-time education, today's class name, time, teacher's name, description of today's class content, and the class schedule management unit 105 , which manages the current class situation, and the class A school portal (bulletin board) management unit 106 that manages bulletin board-type services for separate communities and notices, a personal information protection unit 107 that manages and protects personal information of students, parents, and teachers, and a student/parent terminal A lecture in which the satisfaction of the student's lecture or consultation is evaluated and stored through the parent counseling management/content storage unit 108 in which the counseling content between 200 and the teacher terminal 300 is stored, and the student/parent terminal 200  / Counseling satisfaction evaluation unit 109 and the class creation/modification/progress management unit 104 provide a class information sharing system by linking teacher and student information for a real-time interactive class among the classes created,
The student/parent terminal 200 and the teacher terminal 300 alarm the real-time interactive class time so that the online class timetable of students sharing class information with the teacher is registered so that the online class can be conveniently conducted during the online class time. The real-time interactive class management unit 110 and the class creation/modification/progress management unit 104 provide a class information sharing system by linking the teacher and student information for a real-time one-way class among the classes created by the class creation/modification/progress management unit 104 , and the teacher and class information Real-time one-way class management unit ( 111 ) and a learning content management unit 112 that manages learning contents including real-time interactive, one-way online education, metaverse-based virtual classroom, VOD education using learning content, and screen-based real-time education;
When a consultation request is received from the student/parent terminal 200 , the teacher terminal 300 is called, waiting, and assigned 1 :1 real-time consultation solution management unit 113 and metaverse-based virtual classroom education The metaverse virtual space data storage unit 114 in which virtual classroom data is stored, and various types of characters are stored so that students who have selected metaverse-based virtual classroom education as a class participation method can select their own characters. It manages the character storage unit 115 and the VOD service used as learning content related to knowledge transaction, and manages upload, update, and deletion, and lectures from the student/parent terminal 200 on the learning content. The knowledge transaction management unit 117 that manages purchase and approval, learning contents and lecture/consultation satisfaction evaluation contents are stored,
A database 118 , the communication unit 101 , and the member information unit 102 , provided with data that can support learning 24 hours a day by storing the contents of responses to students' inquiries in preparation for the absence of the teacher by responding to the students' questions , student attendance and learning progress record book (103 ), class creation/modification/progress management section (104 ), class timetable management section (105 ), school portal (bulletin board) management section (106 ), personal information protection section (107 ), parent counseling management /Content storage unit 108 , lecture/consultation satisfaction evaluation unit 109 , real-time interactive class management unit 110 , real-time one-way class management unit 111 , learning content management unit 112 , 1 :1 real-time counseling solution management unit 113  ), metaverse virtual space data storage unit 114 , character storage unit 115 , knowledge transaction management unit 117 , and a control unit 116 for controlling the database 118 with an AI chatbot, the learning management system (LMS) based on linking teacher and student information to prepare a class information sharing system,
Real-time interactive, one-way online classes, metaverse-based virtual classrooms and learning contents, and screen-based real-time 1 :1 queries as the teacher selects an online class method according to their needs when opening an online class and opens an online class It proceeds as one of the classes to which the response solution is applied, a number of learning contents are uploaded and stored from the teacher terminal 300 , and the student's attendance and real-time access are checked through linking with the web messenger and the learning management system (LMS), Parent conferences using online class solutions, career/grade counseling, school portal operation for community management of teachers and students, statistics and management of information collected from the integrated online education platform about classes, grades, and attendance, and real-time conversations Integrated online education platform server 100 that supports knowledge transaction including the learning content through type video remote technology; when the teacher terminal transmits teacher information and lecture information (S100 ),
In the class creation/modification/progress management unit 104 of the integrated online education platform server 100 , creating a virtual classroom based on teacher information and lecture information and disclosing a lecture timetable and online class method (S110 ); When purchasing a lecture using knowledge transaction, the student applies for lecture to the integrated online education platform server 100 through the terminal (S130 ), and when the course is approved, the integrated online education platform server 100 receives the course approval granting access rights to the student terminal (S140 );The integrated online education platform server 100 shares class information by linking teacher and student information based on the learning management system (S150 ), and the class creation/modification/progress management unit of the integrated online education platform server 100  (104 ) is a step of sending a notice and class alarm to the course approval student terminal (S160 );Attendance/real-time access is automatically checked in the integrated online education platform server 100 when logging into the student terminal during the class time (S170 ), and the student uses the student terminal for real-time two-way or one-way online classes, metaverse-based virtual classroom classes , a step in which an online class is conducted in a class method according to the class timetable in which one of the classes using the learning content or the screen-based real-time 1 :1 Q&amp;A solution class is registered (S180 , S180 , S200 , S210 );The integrated online education platform server 100 interlocks with the learning management system to collect, statistically and manage information including students' classes, grades, and attendance (S700 ); The integrated online education platform server 100 connects to the teacher terminal selected by the parent through the parent terminal to connect the counseling connection (S800 ); and a step (S860 ) of which the parent evaluates the counseling through the parent terminal, and the evaluation is stored in the integrated online education platform server 100  (S860 ).</t>
  </si>
  <si>
    <t>KR20200030181 A | KR20200086616 A | KR20200094060 A | KR20200112238 A</t>
  </si>
  <si>
    <t>2021-11-26</t>
  </si>
  <si>
    <t>2041-11-26</t>
  </si>
  <si>
    <t>A voice conversation service system and method using deep learning are disclosed. a foreign language conversation voice search module for searching and collecting foreign language conversation voices; a user dialog voice input module for receiving a user dialog voice; a foreign language dialogue deep learning module for deep learning on a foreign language dialogue using the foreign language dialogue text; Configure the AI foreign language dialogue voice output module that outputs the AI foreign language dialogue voice through the speaker. According to the voice conversation service system and method using the above-described deep learning it is configured to perform deep learning by searching foreign language conversations on the Internet or a database and to perform AI foreign language conversations on the foreign language voice of the user thereby improving the speaking ability of the user It has the effect of being able to provide a learning service that can help you. In addition by accumulating the user&amp;#39;s usual conversations in a database and allowing the user&amp;#39;s avatar to talk or engage in activities with other avatars on their own using the user&amp;#39;s conversations and information without directly accessing the metaverse the metaverse It has the effect of increasing the user&amp;#39;s activity level and enhancing the relationship with other users.</t>
  </si>
  <si>
    <t>Voice conversational service system and method using deep learning</t>
  </si>
  <si>
    <t>service system|deep learning|conversational services|foreign language|conversation|language dialogue|avatar|dialogue</t>
  </si>
  <si>
    <t>Mensa World Co., Ltd.</t>
  </si>
  <si>
    <t>MENSA WORLD CO., LTD.</t>
  </si>
  <si>
    <t>KR20210166037A</t>
  </si>
  <si>
    <t>a foreign language conversation voice search module for searching and collecting foreign language conversation voices;a first STT conversion module for converting foreign language dialogue voices collected by the foreign language dialogue voice search module into foreign language dialogue texts;a foreign language dialogue database in which the foreign language dialogue text converted by the first STT conversion module is stored;a foreign language dialogue deep learning module for deep learning on a foreign language dialogue using the foreign language dialogue text stored in the foreign language dialogue database;a user dialog voice input module for receiving a user dialog voice;a user voice frequency database in which user voice frequencies are stored in advance;a user authentication module for authenticating a user with reference to a user voice frequency stored in advance in the user voice frequency database with respect to the user conversation voice input from the user conversation voice input module;When the user is authenticated by the user authentication module, the AI foreign language dialogue text corresponding to the user dialogue voice input from the user dialogue voice input module is converted to the foreign language dialogue database based on the foreign language dialogue deep learned in the foreign language dialogue deep learning module. AI foreign language conversation text search module to search in real time;a first TTS conversion module for converting the AI foreign language dialogue text searched in real time by the AI foreign language dialogue text search module into an AI foreign language dialogue voice;an AI foreign language dialogue voice output module for outputting the AI foreign language dialogue voice converted by the first TTS conversion module through a speaker;a metaverse connection module for accessing the metaverse according to a user input when the user is authenticated by the user authentication module;a counterpart avatar voice receiving module configured to receive a counterpart avatar voice from the metaverse connected by the metaverse connection module;a counterpart avatar voice output module for outputting the counterpart avatar voice received by the counterpart avatar voice receiving module through a speaker;a user avatar voice input module for receiving the user's user avatar voice in response to the counterpart avatar voice output from the counterpart avatar voice output module;a user avatar voice transmission module for transmitting the user avatar voice input from the user avatar voice input module to the metaverse;a second STT conversion module for converting the counterpart avatar voice received by the counterpart avatar voice receiving module into counterpart avatar text, and converting the user avatar voice transmitted from the user avatar voice transmission module into user avatar text;an avatar conversation database in which an avatar conversation text composed of a counterpart avatar text and a user avatar text converted by the second STT conversion module is stored;an avatar conversation deep learning module for deep learning an avatar conversation using the avatar conversation text stored in the avatar conversation database;an avatar AI mode setting module for setting an avatar AI mode for the user avatar;When the avatar AI mode is set in the avatar AI mode setting module, an AI user avatar that searches the avatar conversation database for an AI user avatar text corresponding to the counterpart avatar text based on the avatar conversation deep learned in the avatar conversation deep learning module text search module;a second TTS conversion module for converting the AI user avatar text retrieved by the AI user avatar text search module into AI user avatar voice;and an AI user avatar voice transmission module for transmitting the AI user avatar voice converted by the second TTS transformation module to the metaverse.</t>
  </si>
  <si>
    <t>a foreign language conversation voice search module for searching and collecting foreign language conversation voices;a first STT conversion module for converting foreign language dialogue voices collected by the foreign language dialogue voice search module into foreign language dialogue texts;a foreign language dialogue database in which the foreign language dialogue text converted by the first STT conversion module is stored;a foreign language dialogue deep learning module for deep learning on a foreign language dialogue using the foreign language dialogue text stored in the foreign language dialogue database;a user dialog voice input module for receiving a user dialog voice;a user voice frequency database in which user voice frequencies are stored in advance;a user authentication module for authenticating a user with reference to a user voice frequency stored in advance in the user voice frequency database with respect to the user conversation voice input from the user conversation voice input module;When the user is authenticated by the user authentication module, the AI foreign language dialogue text corresponding to the user dialogue voice input from the user dialogue voice input module is converted to the foreign language dialogue database based on the foreign language dialogue deep learned in the foreign language dialogue deep learning module. AI foreign language conversation text search module to search in real time;a first TTS conversion module for converting the AI foreign language dialogue text searched in real time by the AI foreign language dialogue text search module into an AI foreign language dialogue voice;an AI foreign language dialogue voice output module for outputting the AI foreign language dialogue voice converted by the first TTS conversion module through a speaker;a metaverse connection module for accessing the metaverse according to a user input when the user is authenticated by the user authentication module;a counterpart avatar voice receiving module configured to receive a counterpart avatar voice from the metaverse connected by the metaverse connection module;a counterpart avatar voice output module for outputting the counterpart avatar voice received by the counterpart avatar voice receiving module through a speaker;a user avatar voice input module for receiving the user's user avatar voice in response to the counterpart avatar voice output from the counterpart avatar voice output module;a user avatar voice transmission module for transmitting the user avatar voice input from the user avatar voice input module to the metaverse;a second STT conversion module for converting the counterpart avatar voice received by the counterpart avatar voice receiving module into counterpart avatar text, and converting the user avatar voice transmitted from the user avatar voice transmission module into user avatar text;an avatar conversation database in which an avatar conversation text composed of a counterpart avatar text and a user avatar text converted by the second STT conversion module is stored;an avatar conversation deep learning module for deep learning an avatar conversation using the avatar conversation text stored in the avatar conversation database;an avatar AI mode setting module for setting an avatar AI mode for the user avatar;When the avatar AI mode is set in the avatar AI mode setting module, an AI user avatar that searches the avatar conversation database for an AI user avatar text corresponding to the counterpart avatar text based on the avatar conversation deep learned in the avatar conversation deep learning module text search module;a second TTS conversion module for converting the AI user avatar text retrieved by the AI user avatar text search module into AI user avatar voice;and an AI user avatar voice transmission module for transmitting the AI user avatar voice converted by the second TTS transformation module to the metaverse.
delete
delete
delete</t>
  </si>
  <si>
    <t>Kim, Chul Ung</t>
  </si>
  <si>
    <t>G10L01522000 | G10L01302000 | G10L01500000 | G10L01516000 | G10L01526000 | G10L02554000</t>
  </si>
  <si>
    <t>KR102383574B1</t>
  </si>
  <si>
    <t>KR102383574 B1</t>
  </si>
  <si>
    <t>I-000224352368</t>
  </si>
  <si>
    <t>20 years from 2021-11-26 (file date)</t>
  </si>
  <si>
    <t>https://patentscout.innography.com/share/Z1vWnKyBIr1DgbYF5n1pWQ%3D%3D</t>
  </si>
  <si>
    <t>2022-03-30-DECISION TO GRANT OR REGISTRATION OF PATENT RIGHT|2022-04-01-WRITTEN DECISION TO GRANT</t>
  </si>
  <si>
    <t>https://patentscout.innography.com/share/Z1vWnKyBIr1DgbYF5n1pWQ%3D%3D/download</t>
  </si>
  <si>
    <t>https://v3.espacenet.com/publicationDetails/biblio?CC=KR&amp;NR=102383574B1&amp;KC=B1&amp;FT=D&amp;date=20220408&amp;DB=EPODOC&amp;locale=</t>
  </si>
  <si>
    <t>KR20102383574 B1</t>
  </si>
  <si>
    <t>1.  a foreign language conversation voice search module for searching and collecting foreign language conversation voices;a first STT conversion module for converting foreign language dialogue voices collected by the foreign language dialogue voice search module into foreign language dialogue texts;a foreign language dialogue database in which the foreign language dialogue text converted by the first STT conversion module is stored;a foreign language dialogue deep learning module for deep learning on a foreign language dialogue using the foreign language dialogue text stored in the foreign language dialogue database;a user dialog voice input module for receiving a user dialog voice;a user voice frequency database in which user voice frequencies are stored in advance;a user authentication module for authenticating a user with reference to a user voice frequency stored in advance in the user voice frequency database with respect to the user conversation voice input from the user conversation voice input module;When the user is authenticated by the user authentication module, the AI foreign language dialogue text corresponding to the user dialogue voice input from the user dialogue voice input module is converted to the foreign language dialogue database based on the foreign language dialogue deep learned in the foreign language dialogue deep learning module. AI foreign language conversation text search module to search in real time;a first TTS conversion module for converting the AI foreign language dialogue text searched in real time by the AI foreign language dialogue text search module into an AI foreign language dialogue voice;an AI foreign language dialogue voice output module for outputting the AI foreign language dialogue voice converted by the first TTS conversion module through a speaker;a metaverse connection module for accessing the metaverse according to a user input when the user is authenticated by the user authentication module;a counterpart avatar voice receiving module configured to receive a counterpart avatar voice from the metaverse connected by the metaverse connection module;a counterpart avatar voice output module for outputting the counterpart avatar voice received by the counterpart avatar voice receiving module through a speaker;a user avatar voice input module for receiving the user's user avatar voice in response to the counterpart avatar voice output from the counterpart avatar voice output module;a user avatar voice transmission module for transmitting the user avatar voice input from the user avatar voice input module to the metaverse;a second STT conversion module for converting the counterpart avatar voice received by the counterpart avatar voice receiving module into counterpart avatar text, and converting the user avatar voice transmitted from the user avatar voice transmission module into user avatar text;an avatar conversation database in which an avatar conversation text composed of a counterpart avatar text and a user avatar text converted by the second STT conversion module is stored;an avatar conversation deep learning module for deep learning an avatar conversation using the avatar conversation text stored in the avatar conversation database;an avatar AI mode setting module for setting an avatar AI mode for the user avatar;When the avatar AI mode is set in the avatar AI mode setting module, an AI user avatar that searches the avatar conversation database for an AI user avatar text corresponding to the counterpart avatar text based on the avatar conversation deep learned in the avatar conversation deep learning module text search module;a second TTS conversion module for converting the AI user avatar text retrieved by the AI user avatar text search module into AI user avatar voice;and an AI user avatar voice transmission module for transmitting the AI user avatar voice converted by the second TTS transformation module to the metaverse.</t>
  </si>
  <si>
    <t>2022-05-27</t>
  </si>
  <si>
    <t>2021-11-18</t>
  </si>
  <si>
    <t>2023-05-18</t>
  </si>
  <si>
    <t>A method of developing or training software-implemented agents or systems is disclosed. In a first phase a self-play system is used: this includes at least two software-implemented agents or systems that compete or self-play against each other in a virtual world to each maximise a respective reward function in order to generate an improved version of each software-implemented agent or system. In a second phase the improved version of the software-implemented agents or systems are deployed in a metaverse which is a hybrid of the real-world and a virtual world; virtual objects are injected into the metaverse and are treated by a software-implemented agent or system running on a real-world device such as a racing car just as though they are real objects to be avoided or to be contacted) to evaluate test or further develop at least one of the software-implemented agents or systems in the complexity and uncertainty of a real-world environment.</t>
  </si>
  <si>
    <t>Method of developing or training software-implemented agents or systems</t>
  </si>
  <si>
    <t>GB2021052994W</t>
  </si>
  <si>
    <t>1. Method of developing or training software-implemented agents or systems; comprising the steps of: (a) providing a self-play system including at least two software-implemented agents or systems that compete or self-play against each other in a virtual world to each maximise a respective reward function, in order to generate an improved version of each software- implemented agent or system; (b) using the improved version of the software-implemented agents or systems in a metaverse, being a hybrid of the real-world and a virtual world, to evaluate, test or further develop at least one of the software-implemented agents or systems in a real-world environment. Software-implemented agents or systems</t>
  </si>
  <si>
    <t>1. Method of developing or training software-implemented agents or systems; comprising the steps of: 
(a) providing a self-play system including at least two software-implemented agents or systems that compete or self-play against each other in a virtual world to each maximise a respective reward function, in order to generate an improved version of each software- implemented agent or system; 
(b) using the improved version of the software-implemented agents or systems in a metaverse, being a hybrid of the real-world and a virtual world, to evaluate, test or further develop at least one of the software-implemented agents or systems in a real-world environment. 
Software-implemented agents or systems
2. The method of Claim 1 in which software-implemented agents or systems are AI- based.
3. The method of Claim 1 or 2 in which the software-implemented agents or systems are neural network based.
4. The method of any preceding Claim in which one of the software-implemented agents or systems is autonomous driving software.
5. The method of any preceding Claim in which one of the software-implemented agents is ADAS (automated driver assistance technology) software.
6. The method of any preceding Claim in which one of the software-implemented agents is configured to perform one or more of the following: object and obstacle detection and recognition, making real-time decisions based on one or more of: perception, localization and mapping, planning and control, collision avoidance.
7. The method of any preceding Claim in which one of the software-implemented agents is configured to control vehicle steering, braking, or accelerating. 69 
Virtual Objects
8. The method of any preceding Claim in which the virtual world and/or the metaverse include virtual objects.
9. The method of any preceding Claim in which virtual objects are introduced into the virtual world and interaction between the agents or systems and the virtual objects alters or influences the reward generated by the reward function.
10. The method of any preceding Claim in which virtual objects are introduced into the metaverse.
11. The method of any preceding Claim in which virtual objects include objects or regions to be avoided, such as moving objects or regions, e.g. virtual children, other vehicles, cyclists, pedestrians, regions that are too close to a moving objects, as well as static objects or regions, e.g. street or traffic signs, roadside kerbs, road-side crash barriers, road potholes, oil slicks, ice, physical infrastructures, sidewalks, road lanes.
12. The method of any preceding Claim in which virtual objects include objects or regions to be steered into or close to, such as moving objects or regions, e.g. gaps in moving traffic flow, traffic lanes; as well as static objects or regions, such as toll booths, parking spaces, garages, part of a racing line around a corner etc.
13. The method of any preceding Claim in which virtual objects include objects or regions that represent the control signals and systems for smart, autonomous transportation systems, e.g. for traffic flow management.
14. The method of any preceding Claim in which virtual obstacles are transient or temporary.
15. The method of any preceding Claim in which virtual obstacles have a pre-defined duration. 70
16. The method of any preceding Claim in which virtual obstacles are permanent. 
Contact Based Self-Play
17. The method of any preceding Claim in which self-play is between an AV agent and an Obstacle agent; and the reward function is contact based.
18. The method of any preceding Claim in which one agent is an autonomous vehicle control agent ('AV agent') that implements any or all of the functions required in an autonomous vehicle driving platform, such as processing sensor data, and making real-time driving decisions.
19. The method of any preceding Claim in which the other agent is an Obstacle agent configured to generate and introduce virtual objects, such as obstacles, other vehicles or driving challenges, into the virtual world.
20. The method of any preceding Claim in which virtual objects include one or more of: obstacles moving into the path of a vehicle, other vehicles, adverse weather conditions and adverse road conditions.
21. The method of any preceding Claim in which the reward function is contact based and the reward functions are: o AV agent: reward function - reward (e.g. point earned) if the AV does not come into contact with any object generated by the obstacle agent during a circuit (or number of circuits); penalty (e.g. point lost) if the AV does come into contact with any such object. o Obstacle agent: reward function - reward function - reward (e.g. point earned) if an object contacts the AV; penalty (e.g. point lost) if no object contacts the AV during a circuit (or number of circuits).
22. The method of any preceding Claim in which contact is defined as a physical approach that is less than a defined threshold distance 
Time Based Self-Play 71
23. The method of any preceding Claim in which self-play is between an AV agent and an Obstacle agent; and the reward function is time based.
24. The method of any preceding Claim in which the reward function is time based and the reward functions are: o AV agent: reward function - reward (e.g. point earned) if the Elapsed Time, being the time actually taken to complete a mission, is less than the Time Credit, being the time allocated to complete the mission,; penalty (e.g. point lost) if the Elapsed Time is more than the Time credit. o Obstacle agent: reward function - reward (e.g. point earned) if the Elapsed Time is more than the Time Credit; penalty (e.g. point lost) if the Elapsed Time is less than the Time credit.
25. The method of any preceding Claim in which self-play is between a Collectables agent and an Obstacle agent; and the reward function is time based.
26. The method of any preceding Claim in which self-play is between a Collectables agent and an Obstacle agent; and the reward function is time based and the reward functions are: o Collectables agent: reward function - reward (e.g. point earned) if the Elapsed Time, being the time actually taken to complete a mission, is less than the Time Credit, being the time allocated to complete the mission; penalty (e.g. point lost) if the Elapsed Time is more than the Time Credit. o Obstacle agent: reward function - reward (e.g. point earned) if the Elapsed Time is more than the Time Credit; penalty (e.g. point lost) if the Elapsed Time is less than the Time credit.
27. The method of any preceding Claim in which self-play is between an AV agent and an Obstacle agent; and the reward function is energy based.
28. The method of any preceding Claim in which the reward function is energy based and the reward functions are: 72 o AV agent: reward function - reward (e.g. point earned) if the Elapsed Energy, being the energy actually taken to complete a mission, is less than the Energy Credit, being the energy the mission allocated to complete the mission; penalty (e.g. point lost) if the Elapsed Energy is more than the Energy Credit. o Obstacle agent: reward function - reward (e.g. point earned) if the Elapsed Energy is more than the Energy Credit; penalty (e.g. point lost) if the Elapsed Energy is less than the Energy Credit.
29. The method of any preceding Claim in which self-play is between an AV agent and an Obstacle agent; and the reward function is Materia based, where Materia is a metric that defines any sort of interaction with the real and/or virtual world.
30. The method of any preceding Claim in the reward function is Materia based and the reward functions are: o AV agent: reward function - reward (e.g. point earned) if the Elapsed Materia, being the amount or extent of Materia used when actually completing a mission, is less than the Materia Credit, being the amount or extent of Materia allocated to complete the mission; penalty (e.g. point lost) if the Elapsed Materia is more than the Materia Credit. o Obstacle agent: reward function - reward (e.g. point earned) if the Elapsed Materia is more than the Materia Credit; penalty (e.g. point lost) if the Elapsed Materia is less than the Materia Credit. 
Ethics Based Self-Play
31. The method of any preceding Claim in which self-play is between an AV agent and an Obstacle agent; and the reward function is ethics based.
32. The method of any preceding Claim in which self-play is between an AV agent and an Obstacle agent; and the reward function is ethics based and the reward functions are: o AV agent: reward function - reward (e.g. point earned) if the AV does not injure a human being or, through inaction, allow a human being to come to harm; penalty (e.g. point lost) if the AV does injure a human being or, through inaction, allow a human being to come to harm. 73 o Obstacle agent: reward function - reward (e.g. point earned) if an object causes a human being to be injured or allows a human being to come to harm; penalty (e.g. point lost) if no object causes a human being to be injured or allows a human being to come to harm. 
Use cases
33. The method of any preceding Claim in which the software-implemented agents or systems are developed in the virtual world through millions of repetitions of competitive self- play.
34. The method of any preceding Claim in which the software-implemented agents or systems are developed in the metaverse for the purpose of better adapting to real world physical conditions.
35. The method of any preceding Claim in which the software-implemented agents or systems are developed in the metaverse for the purpose of exploration of various cases that cannot be accurately proven in a fully simulated exploration environments.
36. The method of any preceding Claim in which the software-implemented agents or systems are developed in the metaverse for the purpose of benchmarking one or more of the following: performance, safety, failure tolerance.
37. The method of any preceding Claim in which the software-implemented agents or systems are developed in the metaverse for the purpose of knowledge transfer between the agents or systems.
38. The method of any preceding Claim in which the software-implemented agents or systems are developed in the metaverse for the purpose of co-learning between multiple agents or systems.</t>
  </si>
  <si>
    <t>Sokolov, Mikhail</t>
  </si>
  <si>
    <t>AE, AG, AL, AM, AO, AT, AU, AZ, BA, BB, BG, BH, BN, BR, BW, BY, BZ, CA, CH, CL, CN, CO, CR, CU, CZ, DE, DJ, DK, DM, DO, DZ, EC, EE, EG, ES, FI, GB, GD, GE, GH, GM, GT, HN, HR, HU, ID, IL, IN, IR, IS, IT, JO, JP, KE, KG, KH, KN, KP, KR, KW, KZ, LA, LC, LK, LR, LS, LU, LY, MA, MD, ME, MG, MK, MN, MW, MX, MY, MZ, NA, NG, NI, NO, NZ, OM, PA, PE, PG, PH, PL, PT, QA, RO, RS, RU, RW, SA, SC, SD, SE, SG, SK, SL, ST, SV, SY, TH, TJ, TM, TN, TR, TT, TZ, UA, UG, US, UZ, VC, VN, WS, ZA, ZM, ZW</t>
  </si>
  <si>
    <t>G06N00308000</t>
  </si>
  <si>
    <t>G06N00308000 | G06N00300000</t>
  </si>
  <si>
    <t>I-000225827116</t>
  </si>
  <si>
    <t>30 months from 2020-11-18 (priority date)</t>
  </si>
  <si>
    <t>https://patentscout.innography.com/share/dExlsScSvnynMGnzqXqfXA%3D%3D</t>
  </si>
  <si>
    <t>2022-07-06-EP: THE EPO HAS BEEN INFORMED BY WIPO THAT EP WAS DESIGNATED IN THIS APPLICATION</t>
  </si>
  <si>
    <t>https://patentscout.innography.com/share/dExlsScSvnynMGnzqXqfXA%3D%3D/download</t>
  </si>
  <si>
    <t>https://v3.espacenet.com/publicationDetails/biblio?CC=WO&amp;NR=2022106829A1&amp;KC=A1&amp;FT=D&amp;date=20220527&amp;DB=EPODOC&amp;locale=</t>
  </si>
  <si>
    <t>WO2021160571 A1</t>
  </si>
  <si>
    <t>1.  CLAIMS</t>
  </si>
  <si>
    <t>2.  1.  Method of developing or training software-implemented agents or systems; comprising the steps of: 
(a) providing a self-play system including at least two software-implemented agents or systems that compete or self-play against each other in a virtual world to each maximise a respective reward function, in order to generate an improved version of each software- implemented agent or system; 
(b) using the improved version of the software-implemented agents or systems in a metaverse, being a hybrid of the real-world and a virtual world, to evaluate, test or further develop at least one of the software-implemented agents or systems in a real-world environment. 
Software-implemented agents or systems</t>
  </si>
  <si>
    <t>5.  4.  The method of any preceding Claim in which one of the software-implemented agents or systems is autonomous driving software.</t>
  </si>
  <si>
    <t>6.  5.  The method of any preceding Claim in which one of the software-implemented agents is ADAS (automated driver assistance technology) software.</t>
  </si>
  <si>
    <t>7.  6.  The method of any preceding Claim in which one of the software-implemented agents is configured to perform one or more of the following: object and obstacle detection and recognition, making real-time decisions based on one or more of: perception, localization and mapping, planning and control, collision avoidance.</t>
  </si>
  <si>
    <t>8.  7.  The method of any preceding Claim in which one of the software-implemented agents is configured to control vehicle steering, braking, or accelerating. 69 Virtual Objects</t>
  </si>
  <si>
    <t>9.  8.  The method of any preceding Claim in which the virtual world and/or the metaverse include virtual objects.</t>
  </si>
  <si>
    <t>10.  9.  The method of any preceding Claim in which virtual objects are introduced into the virtual world and interaction between the agents or systems and the virtual objects alters or influences the reward generated by the reward function.</t>
  </si>
  <si>
    <t>11.  10.  The method of any preceding Claim in which virtual objects are introduced into the metaverse.</t>
  </si>
  <si>
    <t>12.  11.  The method of any preceding Claim in which virtual objects include objects or regions to be avoided, such as moving objects or regions, e.g. virtual children, other vehicles, cyclists, pedestrians, regions that are too close to a moving objects, as well as static objects or regions, e.g. street or traffic signs, roadside kerbs, road-side crash barriers, road potholes, oil slicks, ice, physical infrastructures, sidewalks, road lanes.</t>
  </si>
  <si>
    <t>13.  12.  The method of any preceding Claim in which virtual objects include objects or regions to be steered into or close to, such as moving objects or regions, e.g. gaps in moving traffic flow, traffic lanes; as well as static objects or regions, such as toll booths, parking spaces, garages, part of a racing line around a corner etc.</t>
  </si>
  <si>
    <t>14.  13.  The method of any preceding Claim in which virtual objects include objects or regions that represent the control signals and systems for smart, autonomous transportation systems, e.g. for traffic flow management.</t>
  </si>
  <si>
    <t>15.  14.  The method of any preceding Claim in which virtual obstacles are transient or temporary.</t>
  </si>
  <si>
    <t>16.  15.  The method of any preceding Claim in which virtual obstacles have a pre-defined duration. 70</t>
  </si>
  <si>
    <t>17.  16.  The method of any preceding Claim in which virtual obstacles are permanent. 
Contact Based Self-Play</t>
  </si>
  <si>
    <t>18.  17.  The method of any preceding Claim in which self-play is between an AV agent and an Obstacle agent; and the reward function is contact based.</t>
  </si>
  <si>
    <t>19.  18.  The method of any preceding Claim in which one agent is an autonomous vehicle control agent ('AV agent') that implements any or all of the functions required in an autonomous vehicle driving platform, such as processing sensor data, and making real-time driving decisions.</t>
  </si>
  <si>
    <t>20.  19.  The method of any preceding Claim in which the other agent is an Obstacle agent configured to generate and introduce virtual objects, such as obstacles, other vehicles or driving challenges, into the virtual world.</t>
  </si>
  <si>
    <t>21.  20.  The method of any preceding Claim in which virtual objects include one or more of: obstacles moving into the path of a vehicle, other vehicles, adverse weather conditions and adverse road conditions.</t>
  </si>
  <si>
    <t>22.  21.  The method of any preceding Claim in which the reward function is contact based and the reward functions are: o AV agent: reward function - reward (e.g. point earned) if the AV does not come into contact with any object generated by the obstacle agent during a circuit (or number of circuits); penalty (e.g. point lost) if the AV does come into contact with any such object. o Obstacle agent: reward function - reward function - reward (e.g. point earned) if an object contacts the AV; penalty (e.g. point lost) if no object contacts the AV during a circuit (or number of circuits).</t>
  </si>
  <si>
    <t>23.  22.  The method of any preceding Claim in which contact is defined as a physical approach that is less than a defined threshold distance 
Time Based Self-Play 71</t>
  </si>
  <si>
    <t>24.  23.  The method of any preceding Claim in which self-play is between an AV agent and an Obstacle agent; and the reward function is time based.</t>
  </si>
  <si>
    <t>25.  24.  The method of any preceding Claim in which the reward function is time based and the reward functions are: o AV agent: reward function - reward (e.g. point earned) if the Elapsed Time, being the time actually taken to complete a mission, is less than the Time Credit, being the time allocated to complete the mission,; penalty (e.g. point lost) if the Elapsed Time is more than the Time credit. o Obstacle agent: reward function - reward (e.g. point earned) if the Elapsed Time is more than the Time Credit; penalty (e.g. point lost) if the Elapsed Time is less than the Time credit.</t>
  </si>
  <si>
    <t>26.  25.  The method of any preceding Claim in which self-play is between a Collectables agent and an Obstacle agent; and the reward function is time based.</t>
  </si>
  <si>
    <t>27.  26.  The method of any preceding Claim in which self-play is between a Collectables agent and an Obstacle agent; and the reward function is time based and the reward functions are: o Collectables agent: reward function - reward (e.g. point earned) if the Elapsed Time, being the time actually taken to complete a mission, is less than the Time Credit, being the time allocated to complete the mission; penalty (e.g. point lost) if the Elapsed Time is more than the Time Credit. o Obstacle agent: reward function - reward (e.g. point earned) if the Elapsed Time is more than the Time Credit; penalty (e.g. point lost) if the Elapsed Time is less than the Time credit.</t>
  </si>
  <si>
    <t>28.  27.  The method of any preceding Claim in which self-play is between an AV agent and an Obstacle agent; and the reward function is energy based.</t>
  </si>
  <si>
    <t>29.  28.  The method of any preceding Claim in which the reward function is energy based and the reward functions are: 72 o AV agent: reward function - reward (e.g. point earned) if the Elapsed Energy, being the energy actually taken to complete a mission, is less than the Energy Credit, being the energy the mission allocated to complete the mission; penalty (e.g. point lost) if the Elapsed Energy is more than the Energy Credit. o Obstacle agent: reward function - reward (e.g. point earned) if the Elapsed Energy is more than the Energy Credit; penalty (e.g. point lost) if the Elapsed Energy is less than the Energy Credit.</t>
  </si>
  <si>
    <t>30.  29.  The method of any preceding Claim in which self-play is between an AV agent and an Obstacle agent; and the reward function is Materia based, where Materia is a metric that defines any sort of interaction with the real and/or virtual world.</t>
  </si>
  <si>
    <t>31.  30.  The method of any preceding Claim in the reward function is Materia based and the reward functions are: o AV agent: reward function - reward (e.g. point earned) if the Elapsed Materia, being the amount or extent of Materia used when actually completing a mission, is less than the Materia Credit, being the amount or extent of Materia allocated to complete the mission; penalty (e.g. point lost) if the Elapsed Materia is more than the Materia Credit. o Obstacle agent: reward function - reward (e.g. point earned) if the Elapsed Materia is more than the Materia Credit; penalty (e.g. point lost) if the Elapsed Materia is less than the Materia Credit. 
Ethics Based Self-Play</t>
  </si>
  <si>
    <t>32.  31.  The method of any preceding Claim in which self-play is between an AV agent and an Obstacle agent; and the reward function is ethics based.</t>
  </si>
  <si>
    <t>33.  32.  The method of any preceding Claim in which self-play is between an AV agent and an Obstacle agent; and the reward function is ethics based and the reward functions are: o AV agent: reward function - reward (e.g. point earned) if the AV does not injure a human being or, through inaction, allow a human being to come to harm; penalty (e.g. point lost) if the AV does injure a human being or, through inaction, allow a human being to come to harm. 73 o Obstacle agent: reward function - reward (e.g. point earned) if an object causes a human being to be injured or allows a human being to come to harm; penalty (e.g. point lost) if no object causes a human being to be injured or allows a human being to come to harm. 
Use cases</t>
  </si>
  <si>
    <t>34.  33.  The method of any preceding Claim in which the software-implemented agents or systems are developed in the virtual world through millions of repetitions of competitive self- play.</t>
  </si>
  <si>
    <t>35.  34.  The method of any preceding Claim in which the software-implemented agents or systems are developed in the metaverse for the purpose of better adapting to real world physical conditions.</t>
  </si>
  <si>
    <t>36.  35.  The method of any preceding Claim in which the software-implemented agents or systems are developed in the metaverse for the purpose of exploration of various cases that cannot be accurately proven in a fully simulated exploration environments.</t>
  </si>
  <si>
    <t>37.  36.  The method of any preceding Claim in which the software-implemented agents or systems are developed in the metaverse for the purpose of benchmarking one or more of the following: performance, safety, failure tolerance.</t>
  </si>
  <si>
    <t>38.  37.  The method of any preceding Claim in which the software-implemented agents or systems are developed in the metaverse for the purpose of knowledge transfer between the agents or systems.</t>
  </si>
  <si>
    <t>39.  38.  The method of any preceding Claim in which the software-implemented agents or systems are developed in the metaverse for the purpose of co-learning between multiple agents or systems.</t>
  </si>
  <si>
    <t>US20190004792 A1</t>
  </si>
  <si>
    <t>2019-10-08</t>
  </si>
  <si>
    <t>2018-01-03</t>
  </si>
  <si>
    <t>2038-01-03</t>
  </si>
  <si>
    <t>Disclosed are the details about our computer system based software and dedicated server system. The software is composed of a physics engine created with C++ and blueprinting techniques used to create an online web development platform. The physics engine acts as a base system on the computer that greatly enhances the features of a contemporary html or java website. This system allows us to create more tools within a 3d metaverse that is simple to use and solves the 2d traditional website only problem in the internet. The invention has a wide variety of functions that allow 3d objects to be placed inside of the metaverse; customizing the site with a plethora of features including color material images and shape.</t>
  </si>
  <si>
    <t>Arc3 physics engine powered visual browser website design system and operating system</t>
  </si>
  <si>
    <t>Struckman, Ii Dan Dale</t>
  </si>
  <si>
    <t>Struckman, II Dan Dale</t>
  </si>
  <si>
    <t>US15/861253</t>
  </si>
  <si>
    <t>CHUCK O KENDALL</t>
  </si>
  <si>
    <t xml:space="preserve">2192: Interprocess Communication &amp; Software Development </t>
  </si>
  <si>
    <t>A physics engine modified content management system, and domain host software better described as augmented realtime content 3d, or physics engine powered visual browser website design system, and operating system comprising of:
a game engine that is C++ coded using blueprint methods to act as an interactive content environment with website capabilities better known as a metaverse;
said software is further comprising of a full set of highly customizable tools, and features including the ability to bring in 3d asset's into an existing or prefabricated 3d environment, using a colour picker to change the textures, and values into a range of variables and colours;
the features include but aren't limited to the ability to save the finished 3d metaverse/website on a personal or business computer or other platforms to be published on the internet at a later time, by using a dedicated server to host the personal or business metaverse as a 0.3d domain for others users to interact with;
said network system is a content management system, and domain hosting software connected to a dedicated server system;
said features and tools are like nothing before that has been accomplished using a gaming engine to function as a highly sophisticated content management system, and domain hosting software system creating a 0.3d domain network, or 3d enhanced internet platform.</t>
  </si>
  <si>
    <t>1. A physics engine modified content management system, and domain host software better described as augmented realtime content 3d, or physics engine powered visual browser website design system, and operating system comprising of:
a game engine that is C++ coded using blueprint methods to act as an interactive content environment with website capabilities better known as a metaverse;
said software is further comprising of a full set of highly customizable tools, and features including the ability to bring in 3d asset's into an existing or prefabricated 3d environment, using a colour picker to change the textures, and values into a range of variables and colours;
the features include but aren't limited to the ability to save the finished 3d metaverse/website on a personal or business computer or other platforms to be published on the internet at a later time, by using a dedicated server to host the personal or business metaverse as a 0.3d domain for others users to interact with;
said network system is a content management system, and domain hosting software connected to a dedicated server system;
said features and tools are like nothing before that has been accomplished using a gaming engine to function as a highly sophisticated content management system, and domain hosting software system creating a 0.3d domain network, or 3d enhanced internet platform.</t>
  </si>
  <si>
    <t>Mckinney, Robert Scott|Struckman, Ii, Dan Struckman Dale</t>
  </si>
  <si>
    <t>G06F0008310000</t>
  </si>
  <si>
    <t>G06F0008310000 | G06F0008710000 | A63F0013335000 | A63F0013600000</t>
  </si>
  <si>
    <t>G06F00944000</t>
  </si>
  <si>
    <t>G06F00944000 | G06F00830000</t>
  </si>
  <si>
    <t>US10437563B1</t>
  </si>
  <si>
    <t>US10437563 B1</t>
  </si>
  <si>
    <t>I-000183472075</t>
  </si>
  <si>
    <t>20 years from 2018-01-03 (file date)</t>
  </si>
  <si>
    <t>https://patentscout.innography.com/share/TDfoJazDGPKewFrAan-KYA%3D%3D</t>
  </si>
  <si>
    <t>2018-01-03-FEE PAYMENT PROCEDURE|2018-01-25-FEE PAYMENT PROCEDURE|2018-01-25-FEE PAYMENT PROCEDURE|2018-01-25-FEE PAYMENT PROCEDURE|2018-03-27-FEE PAYMENT PROCEDURE|2018-03-27-FEE PAYMENT PROCEDURE|2019-09-18-INFORMATION ON STATUS: PATENT GRANT</t>
  </si>
  <si>
    <t>https://patentscout.innography.com/share/TDfoJazDGPKewFrAan-KYA%3D%3D/download</t>
  </si>
  <si>
    <t>https://ppubs.uspto.gov/pubwebapp/external.html?q=10437563.pn.</t>
  </si>
  <si>
    <t>2013-08-28</t>
  </si>
  <si>
    <t>2021-10-29</t>
  </si>
  <si>
    <t>2034-08-28</t>
  </si>
  <si>
    <t>The present invention relates to the sizing of merchandise such as clothing soft goods and hard goods including the measurement tracking stamping and security of the merchandise the managing of an inventory of merchandise whether at a facility or at a retailer or in a virtual environment or metaverse over a network or social network. In addition the present invention encompasses the process of sizing or measurement of the merchandise to the point of sale as well as the sizing or measurement of a user to locate merchandise that will fit the user can be accomplished in person or in a virtual environment or metaverse which provides a real-world experience to the user.</t>
  </si>
  <si>
    <t>Method of sizing merchandise in an inventory management system</t>
  </si>
  <si>
    <t>merchandise|management system|inventory management system|virtual environment|soft goods|embedding device|unique identification</t>
  </si>
  <si>
    <t>Altieri Frances Barbaro</t>
  </si>
  <si>
    <t>US17/514514</t>
  </si>
  <si>
    <t xml:space="preserve">A method of providing a user with access to an inventory of merchandise in a plurality of sizes, the method comprising:
providing a quantum imaging environment operating system (QIE(OS)) module at one of a client or a server, said client or said server containing a data storage which is accessed by said QIE(OS), said data storage being located at at least one of said client or said server or provided as an external data storage, said data storage which stores a design of the merchandise in a digital design file;
developing a digital pattern file based on the digital design file using said QIE(OS) module and said artificial intelligence (AI) module;
storing the digital pattern file in said data storage using said QIE(OS) module;
instructing a cutting device using said QIE(OS) module to cut a material using said cutting device in accordance with said digital pattern file, to form a pattern-cut material;
capturing one or more images of the pattern-cut material using an image capturing system and storing said captured images in said data storage using said QIE(OS) module;
obtaining cut material measurements of the pattern-cut material from said cutting device using said QIE(OS) module, and storing said cut material measurements in said data storage;
embedding a unique identification tag into said pattern-cut material using an embedding device as instructed by said QIE(OS) module;
associating, using said QIE(OS) module, said captured images, said cut material measurements, and said unique identification tag with one another in said data storage; and
receiving and storing into said data storage, using said QIE(OS) module, user digital measurements captured by sensors of a body of the user;
searching said data storage, using said QIE(OS) module, for said pattern-cut material having said cut material measurements approximating said user digital measurements, using output from said unique identification tag;
locating, using said QIE(OS) module, said pattern-cut material using said outputted unique identification tag from said data storage; and
manufacturing the merchandise in accordance with said digital pattern file using said located pattern-cut material.
</t>
  </si>
  <si>
    <t>1. A method of providing a user with access to an inventory of merchandise in a plurality of sizes, the method comprising:
providing a quantum imaging environment operating system (QIE(OS)) module at one of a client or a server, said client or said server containing a data storage which is accessed by said QIE(OS), said data storage being located at at least one of said client or said server or provided as an external data storage, said data storage which stores a design of the merchandise in a digital design file;
developing a digital pattern file based on the digital design file using said QIE(OS) module and said artificial intelligence (AI) module;
storing the digital pattern file in said data storage using said QIE(OS) module;
instructing a cutting device using said QIE(OS) module to cut a material using said cutting device in accordance with said digital pattern file, to form a pattern-cut material;
capturing one or more images of the pattern-cut material using an image capturing system and storing said captured images in said data storage using said QIE(OS) module;
obtaining cut material measurements of the pattern-cut material from said cutting device using said QIE(OS) module, and storing said cut material measurements in said data storage;
embedding a unique identification tag into said pattern-cut material using an embedding device as instructed by said QIE(OS) module;
associating, using said QIE(OS) module, said captured images, said cut material measurements, and said unique identification tag with one another in said data storage; and
receiving and storing into said data storage, using said QIE(OS) module, user digital measurements captured by sensors of a body of the user;
searching said data storage, using said QIE(OS) module, for said pattern-cut material having said cut material measurements approximating said user digital measurements, using output from said unique identification tag;
locating, using said QIE(OS) module, said pattern-cut material using said outputted unique identification tag from said data storage; and
manufacturing the merchandise in accordance with said digital pattern file using said located pattern-cut material.
2. A method of implementing an inventory management system comprising:
providing a quantum imaging environment operating system (QIE(OS)) module at one of a client or a server, said client or said server containing a data storage which is accessed by said QIE(OS), said data storage being located at at least one of said client or said server or provided as an external data storage;
storing in said data storage, using said QIE(OS) module, a design of an item of merchandise created by a user and a pattern developed from said design;
instructing a cutting device, using said QIE(OS) module, to cut a material into said pattern based on said design created by said user;
capturing images of said material using at least one scanning and/or image capturing device, as said material is cut into said pattern by said cutting device, to form a piece of merchandise;
storing, using said QIE(OS) module, said captured images of said cut material in said data storage;
analyzing said captured images using said QIE(OS) module and an AI module, for pattern information and measurements;
sending said captured images, pattern information and measurements, using said QIE(OS) module and a Communications module, to a manufacturing system for manufacture and processing;
manufacturing said piece of merchandise according to said pattern information and said measurements;
embedding a unique identification into said merchandise using an embedding device instructed by said QIE(OS) module, during manufacturing and processing;
capturing images of said processed piece of merchandise with said embedded unique identification using said scanning and/or image capturing system;
tagging said processed piece of merchandise using a tagging system instructed by said QIE(OS) module, for tracking in the inventory management system.
3. The method of claim 2, further comprising:
utilizing a robotic arm to pick up each said piece of merchandise and place each said piece of merchandise on a conveyor belt, based on instructions from said QIE(OS) module;
scanning, using a measuring wand, said merchandise, and collecting information on said merchandise using said QIE(OS) module, said AI module and a Digital Content Library module, including measurements of said merchandise and said embedded unique identification; and
moving said merchandise to a container using another robotic arm, based on instructions from said QIE(OS) module, after said embedding device embeds said unique identification.
4. The method of claim 2, wherein said embedding device includes at least one of an RFID chip embedding device, an ink embedding device, a label device, a barcode embedding device, a sensor embedding device, or a specialty thread embedding device.
5. The method of claim 2, wherein when said merchandise is soft goods, further comprising: flattening said merchandise using a puffing device, a vent, or a blower.
6. The method of claim 2, wherein managing the merchandise using said QIE(OS) module, said AI module, and a Digital Content Library module, includes at least one of a ticket creation system for said merchandise, a mark up/down system for said merchandise, a barter system of said merchandise for customers, a polling system to check inventory, an auction system for said merchandise, a retail training application merchandising system, a security system for said merchandise, or a billing system for said merchandise.
7. A method of sizing merchandise for a person, comprising:
providing a quantum imaging environment operating system (QIE(OS)) module at one of a client or a server, said client or said server containing a data storage which is accessed by said QIE(OS), said data storage being located at at least one of said client or said server or provided as an external data storage;
providing a measuring device which captures measurements of one or more parts of a body of a person for sizing merchandise for said person;
transmitting said measurements using a Communications module of an electronic device to a Thematic module and said QIE(OS) module;
wherein said Thematic module and said QIE(OS) module determine where said measurements are sent for processing, including but not limited to an enterprise resource planning system (ERP), a designer, or a store; and
storing said measurements in said data storage.
8. The method of claim 7, wherein said measurement device is an article of clothing including but not limited to a piece of footwear or foot covering, a piece of clothing that covers one of at least an upper body, a lower body, or extremities, and which molds to said body of said person.
9. The method of claim 8, wherein said article of clothing includes at least one of a conductive yarn, or a memory-based fiber that contains an identification including at least one of a specialty threaded sensor or thread, a label, a conductive ink, bar code, a fiber optic thread, or a programmable sensor.
10. The method of claim 9, wherein said article of clothing includes at least one of a stretchable or bendable battery, a controller containing said QIE(OS) module, or a temperature mechanism.
11. The method of claim 7, wherein said measuring device is a tube having at least one image capturing device disposed overhead on a rotating belt or track that takes an image of said person to obtain said measurements for sizing.
12. The method of claim 11, wherein said measuring system is a portable device containing a controller that implements said QIE(OS) module, and at least one of a Thematic Engine module, an AI module, or a Digital Content Library module.
13. The method of claim 7, wherein said measuring system is a portable device having an image capturing system connected via a rod or pole, which measures said body of said person as said person rotates and moves around said portable device.
14. The method of claim 13, wherein said image capturing device includes a controller board containing said QIE (OS) module, and/or connects to at least one of a black box, an IPAD, or a computer, via a communication device.
15. The method of claim 7, wherein said measuring device is one of a scanner, a wand, a technical box, a virtual closer or a mirror having embedded image capturing devices, a digital screen, or a stand with one or more image capturing devices.
16. The method of claim 7, wherein said QIE(OS) module calculates and maintains in said data storage and/or said Digital Content Library module, all said measurements of said person.
17. The method of claim 16, further comprising:
embedding, using an embedding device instructed by said QIE(OS) module, said measurements into an identification including at least one of a specialty threaded sensor or thread, a label, a conductive ink, bar code, a fiber optic thread, or a programmable sensor, for one of sizing of said person, or security and/or tracking of said merchandise.
18. The method of claim 7, wherein said sizing of said person is conducted in at least one of a virtual environment or metaverse, a store, a business, or a social network, or from at least one of a virtual closet, a computer environment, or a cell phone; and
wherein said person is one of a physical body or an avatar.
19. The method of claim 18, wherein said merchandise is displayed as a plurality of digital images or data, in a real world, in a virtual world or a combination thereof, using a Graphical User Interface (GUI) module; and
wherein said user is provided, using said QIE(OS) module, a Thematic Engine module and a Digital Content Library module, with a location or Zone of said merchandise or said store or business, from a GPS or a satellite, and said location or Zone is a physical location of one of a rack in said store or business, a shelf, a hangar, a case, a closet, or an address or location in a home.
20. The method of claim 19, wherein said user is provided with a hologram of said user from an input device, based on said measurements from said image capturing device, and said QIE(OS) module maps said merchandise over said hologram of said user to locate and/or obtain a size of said merchandise, and displays said sized merchandise to said user on a display device.</t>
  </si>
  <si>
    <t>Altieri, Frances Barbaro</t>
  </si>
  <si>
    <t>G06Q0010087000 | B25J0011000000</t>
  </si>
  <si>
    <t>G06Q01008000 | B25J01100000</t>
  </si>
  <si>
    <t>US20220051180A1</t>
  </si>
  <si>
    <t>US20150066712 A1 | US10318916 B2 | US20190251500 A1 | US11164145 B2 | US20220051180 A1</t>
  </si>
  <si>
    <t>I-000221469021</t>
  </si>
  <si>
    <t>20 years from 2014-08-28 (file date of patent US10318916)</t>
  </si>
  <si>
    <t>https://patentscout.innography.com/share/pvhiNtlHRteGFgLataMGaA%3D%3D</t>
  </si>
  <si>
    <t>2021-11-13-INFORMATION ON STATUS: PATENT APPLICATION AND GRANTING PROCEDURE IN GENERAL</t>
  </si>
  <si>
    <t>https://patentscout.innography.com/share/pvhiNtlHRteGFgLataMGaA%3D%3D/download</t>
  </si>
  <si>
    <t>https://ppubs.uspto.gov/pubwebapp/external.html?q=20220051180.pn.</t>
  </si>
  <si>
    <t>US20220051180 A1</t>
  </si>
  <si>
    <t>US20150066712 A1</t>
  </si>
  <si>
    <t>1. A method of providing a user with access to an inventory of merchandise in a plurality of sizes, the method comprising:
providing a quantum imaging environment operating system (QIE(OS)) module at one of a client or a server, said client or said server containing a data storage which is accessed by said QIE(OS), said data storage being located at at least one of said client or said server or provided as an external data storage, said data storage which stores a design of the merchandise in a digital design file;
developing a digital pattern file based on the digital design file using said QIE(OS) module and said artificial intelligence (AI) module;
storing the digital pattern file in said data storage using said QIE(OS) module;
instructing a cutting device using said QIE(OS) module to cut a material using said cutting device in accordance with said digital pattern file, to form a pattern-cut material;
capturing one or more images of the pattern-cut material using an image capturing system and storing said captured images in said data storage using said QIE(OS) module;
obtaining cut material measurements of the pattern-cut material from said cutting device using said QIE(OS) module, and storing said cut material measurements in said data storage;
embedding a unique identification tag into said pattern-cut material using an embedding device as instructed by said QIE(OS) module;
associating, using said QIE(OS) module, said captured images, said cut material measurements, and said unique identification tag with one another in said data storage; and
receiving and storing into said data storage, using said QIE(OS) module, user digital measurements captured by sensors of a body of the user;
searching said data storage, using said QIE(OS) module, for said pattern-cut material having said cut material measurements approximating said user digital measurements, using output from said unique identification tag;
locating, using said QIE(OS) module, said pattern-cut material using said outputted unique identification tag from said data storage; and
manufacturing the merchandise in accordance with said digital pattern file using said located pattern-cut material.</t>
  </si>
  <si>
    <t>2. A method of implementing an inventory management system comprising:
providing a quantum imaging environment operating system (QIE(OS)) module at one of a client or a server, said client or said server containing a data storage which is accessed by said QIE(OS), said data storage being located at at least one of said client or said server or provided as an external data storage;
storing in said data storage, using said QIE(OS) module, a design of an item of merchandise created by a user and a pattern developed from said design;
instructing a cutting device, using said QIE(OS) module, to cut a material into said pattern based on said design created by said user;
capturing images of said material using at least one scanning and/or image capturing device, as said material is cut into said pattern by said cutting device, to form a piece of merchandise;
storing, using said QIE(OS) module, said captured images of said cut material in said data storage;
analyzing said captured images using said QIE(OS) module and an AI module, for pattern information and measurements;
sending said captured images, pattern information and measurements, using said QIE(OS) module and a Communications module, to a manufacturing system for manufacture and processing;
manufacturing said piece of merchandise according to said pattern information and said measurements;
embedding a unique identification into said merchandise using an embedding device instructed by said QIE(OS) module, during manufacturing and processing;
capturing images of said processed piece of merchandise with said embedded unique identification using said scanning and/or image capturing system;
tagging said processed piece of merchandise using a tagging system instructed by said QIE(OS) module, for tracking in the inventory management system.</t>
  </si>
  <si>
    <t>7. A method of sizing merchandise for a person, comprising:
providing a quantum imaging environment operating system (QIE(OS)) module at one of a client or a server, said client or said server containing a data storage which is accessed by said QIE(OS), said data storage being located at at least one of said client or said server or provided as an external data storage;
providing a measuring device which captures measurements of one or more parts of a body of a person for sizing merchandise for said person;
transmitting said measurements using a Communications module of an electronic device to a Thematic module and said QIE(OS) module;
wherein said Thematic module and said QIE(OS) module determine where said measurements are sent for processing, including but not limited to an enterprise resource planning system (ERP), a designer, or a store; and
storing said measurements in said data storage.</t>
  </si>
  <si>
    <t>2022-07-15</t>
  </si>
  <si>
    <t>2022-04-18</t>
  </si>
  <si>
    <t>2042-04-18</t>
  </si>
  <si>
    <t>The invention claims a real and virtual geographic space VR system based on metaverse comprising a data server an application server a simulation system a graphical workstation a VR head display an operation locating module for VR head display wherein the application server is distributed and connected with the data server and the simulation system. the user can quickly load in the three-dimensional scene measuring analyzing and marking the three-dimensional geographic information data and thematic data from different dimensions angle height to the three-dimensional space scene for flight roaming browsing and related information query realizing natural geography of different areas human landscape dynamic simulation of three-dimensional live-action and VR immersive environment experience making the user through constructing virtual and realistic three-dimensional geographic environment sensing and experience environment characteristic of different geographic area so as to improve the learning working research efficiency more beneficial for related personnel auxiliary decision.</t>
  </si>
  <si>
    <t>A real and virtual geographic space vr system based on universe</t>
  </si>
  <si>
    <t>Beijing Hexi Digital Remote Sensing Technology Co., Ltd.</t>
  </si>
  <si>
    <t>BEIJING HEXI DIGITAL REMOTE SENSING TECHNOLOGY CO., LTD.</t>
  </si>
  <si>
    <t>CN202210404172A</t>
  </si>
  <si>
    <t>1. A real and virtual geographic space VR system based on universe, comprising a data server, an application server, a simulation system, a graph work station, a VR head display, an operation locating module for VR head display, wherein the application server is distributed and connected with the data server and the simulation system.</t>
  </si>
  <si>
    <t>1. A real and virtual geographic space VR system based on universe, comprising a data server, an application server, a simulation system, a graph work station, a VR head display, an operation locating module for VR head display, wherein the application server is distributed and connected with the data server and the simulation system.2. The real and virtual geographic space VR system based on meta-space according to claim 1, wherein the simulation platform comprises a real/virtual scene building module, a map operation module, a data management module, a user management module and a VR module.3. The real and virtual geographic space VR system based on metaverse according to claim 2, wherein the real/virtual scene building module is used for constructing the scene content, and the real scene three-dimensional and virtual simulation are combined.4. The real and virtual geographic space VR system based on metaverse according to claim 3, wherein the VR module is used for combining the VR three-dimensional head display, realizing the immersion type of all scenes in the simulation platform, and the experience of the environment.5. The real and virtual geographic space VR system based on metaverse according to claim 3, wherein the map operation module is used for realizing in the scene, supporting the operation mouse dragging the ball to rotate; for realizing mouse roller operation map window amplifying, reducing, forward and backward; for realizing map mapping, space measurement and analysis, layer management and engineering combination; the data management module is used for building management for each data related to the system, each kind of material base object, uploading of scene construction engineering, approval management and so on; the user management module is used for different levels of operation according to different people, setting different role authority.6. The real and virtual geographic space VR system based on metaverse according to claim 2, wherein said operation locating module comprises a VR handle and a locator matched with it, and said operation locating module is matched and connected with said VR head.7. The real and virtual geographic space VR system based on metaverse according to claim 6, wherein the application server is connected with at least one VR head portrait through the graphic work station, wherein the application server can be independently matched with any one of the VR head display for hardware connection, for centralized display.8. The real and virtual geographic space VR system based on metaverse according to claim 7, wherein the VR head display is connected with the application server, for centralized experience, capable of performing immersive interactive roaming to the integrated multiple scenes; the other VR head display respectively with the corresponding graphical work station for debugging when each user constructs the scene layout.9. The real and virtual geographic space VR system based on metaverse according to claim 8, wherein said application server is used for installing software application system, running and calculating, and simultaneously accessing and invoking other said graphic work stations.</t>
  </si>
  <si>
    <t>Lai, Xusheng|Hu, Sumei</t>
  </si>
  <si>
    <t>G06T0019003000 | G06F0003010000 | G06F0016290000 | G06F0016953700 | G06F0016953800 | G06T0017050000 | G06T2210610000</t>
  </si>
  <si>
    <t>G06T01900000 | G06F00301000 | G06F01629000 | G06F01695370 | G06F01695380 | G06T01705000</t>
  </si>
  <si>
    <t>CN114758103A</t>
  </si>
  <si>
    <t>CN114758103 A</t>
  </si>
  <si>
    <t>I-000227612007</t>
  </si>
  <si>
    <t>20 years from 2022-04-18 (file date)</t>
  </si>
  <si>
    <t>https://patentscout.innography.com/share/_RXlzDlt3AykMTHoP5VwoQ%3D%3D</t>
  </si>
  <si>
    <t>2022-07-15-PUBLICATION|2022-08-02-ENTRY INTO FORCE OF REQUEST FOR SUBSTANTIVE EXAMINATION</t>
  </si>
  <si>
    <t>https://patentscout.innography.com/share/_RXlzDlt3AykMTHoP5VwoQ%3D%3D/download</t>
  </si>
  <si>
    <t>https://v3.espacenet.com/publicationDetails/biblio?CC=CN&amp;NR=114758103A&amp;KC=A&amp;FT=D&amp;date=20220715&amp;DB=EPODOC&amp;locale=</t>
  </si>
  <si>
    <t>1.  1.  A real and virtual geographic space VR system based on universe, comprising a data server, an application server, a simulation system, a graph work station, a VR head display, an operation locating module for VR head display, wherein the application server is distributed and connected with the data server and the simulation system.</t>
  </si>
  <si>
    <t>KR20190123048 A | KR20200041173 A</t>
  </si>
  <si>
    <t>2022-02-10</t>
  </si>
  <si>
    <t>2022-02-11</t>
  </si>
  <si>
    <t>2042-02-11</t>
  </si>
  <si>
    <t>A method and system for integrated global e-commerce management based on metaverse and NFT are disclosed.</t>
  </si>
  <si>
    <t>Integrated management method for global e-commerce based on metabus and nft and integrated management system for the same</t>
  </si>
  <si>
    <t>management based|integrated global|e-commerce management|product information|non-fungible token|non-fungible</t>
  </si>
  <si>
    <t>Dcs, Ltd.</t>
  </si>
  <si>
    <t>Dcs</t>
  </si>
  <si>
    <t>KR20220018191A</t>
  </si>
  <si>
    <t>An integrated management method for global e-commerce based on Metabus and Non-Fungible Token (NFT) performed in an integrated management server, the method comprising: receiving product data of a product from a source shopping mall server in a first station;receiving at least one product registration template from a target shopping mall server of a second station;generating a standard registration template by using the at least one product registration template;converting the product data according to the standard registration template to generate product information of the product;transmitting the product information to the target shopping mall server to register the product; and updating the product information at a set update cycle using product attribute information and buyer activity information of the product, wherein the standard registration template includes essential product configuration data and optional product configuration data, and In the step of generating product information, by using a product data estimation model that is an artificial neural network model, the essential product configuration data of the product information is generated, and before or after the step of generating the product information, own product information receiving a registration request including a seller address, original product information, and a maximum usage permission period corresponding to the original product information from a user terminal of a seller who wants to be uniquely registered;In response to the received registration request, a unique token identification symbol corresponding to the original product information is commonly allocated, and a plurality of non-fungible tokens corresponding to a number obtained by dividing the maximum use permission period by a preset period is blocked creating on a chain;encrypting and storing the original product information and metadata corresponding to the original product information in an internal or external storage;generating a hash value accessible to the stored metadata;storing the generated hash value and the token identification symbol assigned to the generated non-fungible tokens to match each other in the block chain; and owner addresses corresponding to at least some of the non-fungible tokens of the non-fungible tokens corresponding to the original product information based on a use permission request received from the user terminal of the first seller who wants to use the original product information. changing from at least one second merchant to the first merchant; wherein the changing of owner addresses corresponding to the at least some non-fungible tokens to the first merchant includes: When the total quantity of non-fungible tokens to which the same token identification symbol as the tokens is given and the quantity of the at least some non-fungible tokens are not the same, when a use permit period corresponding to the number of the at least some non-fungible tokens elapses and automatically restoring owner addresses corresponding to the at least some non-fungible tokens to the at least one second seller.</t>
  </si>
  <si>
    <t>An integrated management method for global e-commerce based on Metabus and Non-Fungible Token (NFT) performed in an integrated management server, the method comprising: receiving product data of a product from a source shopping mall server in a first station;receiving at least one product registration template from a target shopping mall server of a second station;generating a standard registration template by using the at least one product registration template;converting the product data according to the standard registration template to generate product information of the product;transmitting the product information to the target shopping mall server to register the product; and updating the product information at a set update cycle using product attribute information and buyer activity information of the product, wherein the standard registration template includes essential product configuration data and optional product configuration data, and In the step of generating product information, by using a product data estimation model that is an artificial neural network model, the essential product configuration data of the product information is generated, and before or after the step of generating the product information, own product information receiving a registration request including a seller address, original product information, and a maximum usage permission period corresponding to the original product information from a user terminal of a seller who wants to be uniquely registered;In response to the received registration request, a unique token identification symbol corresponding to the original product information is commonly allocated, and a plurality of non-fungible tokens corresponding to a number obtained by dividing the maximum use permission period by a preset period is blocked creating on a chain;encrypting and storing the original product information and metadata corresponding to the original product information in an internal or external storage;generating a hash value accessible to the stored metadata;storing the generated hash value and the token identification symbol assigned to the generated non-fungible tokens to match each other in the block chain; and owner addresses corresponding to at least some of the non-fungible tokens of the non-fungible tokens corresponding to the original product information based on a use permission request received from the user terminal of the first seller who wants to use the original product information. changing from at least one second merchant to the first merchant; wherein the changing of owner addresses corresponding to the at least some non-fungible tokens to the first merchant includes: When the total quantity of non-fungible tokens to which the same token identification symbol as the tokens is given and the quantity of the at least some non-fungible tokens are not the same, when a use permit period corresponding to the number of the at least some non-fungible tokens elapses and automatically restoring owner addresses corresponding to the at least some non-fungible tokens to the at least one second seller.
The integration for metaverse and NFT-based global e-commerce of claim 1, wherein the generating of the product information includes inputting the product information into a language translation model and translating the text of the product information into a language used by the target shopping mall. management method.
The method of claim 1, further comprising: before generating the product information, generating the product information as training data of the product data estimation model by using product attribute information of the product and the purchaser activity information; and using the learning data to train the product data estimation model.
delete
delete
A non-transitory recording medium in which a program for executing the integrated management method according to claim 1 is recorded, which can be read by a computer.
In the integrated management server, a computer program recorded in a non-transitory recording medium to execute the integrated management method according to claim 1.
An integrated management server for global e-commerce based on metaverse and NFT, comprising: at least one processor; and a memory storing instructions instructing the at least one processor to perform at least one operation, wherein the at least one operation is performed to a source shopping mall server of a first station. receiving product data of the route product;receiving at least one product registration template from a target shopping mall server of a second station;generating a standard registration template by using the at least one product registration template;converting the product data according to the standard registration template to generate product information of the product;transmitting the product information to the target shopping mall server to register the product; and updating the product information at a set update cycle using product attribute information and buyer activity information of the product, wherein the standard registration template is composed of essential product configuration data and optional product configuration data, and the product information The generating step uses a product data estimation model, which is an artificial neural network model, to generate the essential product configuration data of the product information, and before or after the step of generating the product information, to uniquely register your product information receiving a registration request including a seller address, original product information, and a maximum usage permission period corresponding to the original product information from the seller's user terminal;In response to the received registration request, a unique token identification symbol corresponding to the original product information is commonly allocated, and a plurality of non-fungible tokens corresponding to a number obtained by dividing the maximum use permission period by a preset period is blocked creating on a chain;encrypting and storing the original product information and metadata corresponding to the original product information in an internal or external storage;generating a hash value accessible to the stored metadata;storing the generated hash value and the token identification symbol assigned to the generated non-fungible tokens to match each other in the block chain; and owner addresses corresponding to at least some of the non-fungible tokens of the non-fungible tokens corresponding to the original product information based on a use permission request received from the user terminal of the first seller who wants to use the original product information. changing from at least one second merchant to the first merchant; wherein the changing of owner addresses corresponding to the at least some non-fungible tokens to the first merchant includes: When the total quantity of non-fungible tokens to which the same token identification symbol as the tokens is given and the quantity of the at least some non-fungible tokens are not the same, when a use permit period corresponding to the number of the at least some non-fungible tokens elapses, automatically restoring owner addresses corresponding to the at least some non-fungible tokens to the at least one second merchant.
An integrated management system for global e-commerce based on metaverse and NFT, comprising: a source shopping mall server operating a source shopping mall in a first station;a target shopping mall server that operates a target shopping mall in a second station;a user terminal of a seller who wants to register a product registered in the source shopping mall in the target shopping mall; and an integrated management server providing an integrated product management service to the user terminal by interworking with the source shopping mall server and the target shopping mall server, wherein the integrated management server includes: at least one processor; and a memory storing instructions instructing the at least one processor to perform at least one operation, wherein the at least one operation is performed to a source shopping mall server of a first station. receiving product data of the route product;receiving at least one product registration template from a target shopping mall server of a second station;generating a standard registration template by using the at least one product registration template;converting the product data according to the standard registration template to generate product information of the product;transmitting the product information to the target shopping mall server to register the product; and updating the product information at a set update cycle using product attribute information and purchaser activity information of the product, wherein the standard registration template includes essential product configuration data and optional product configuration data, and the product In the information generation step, by using a product data estimation model that is an artificial neural network model, the essential product configuration data of the product information is generated, and before or after the step of generating the product information, uniquely registers own product information. receiving a registration request including a seller address, original product information, and a maximum usage permission period corresponding to the original product information from a user terminal of a seller to be received;In response to the received registration request, a unique token identification symbol corresponding to the original product information is commonly allocated, and a plurality of non-fungible tokens corresponding to a number obtained by dividing the maximum use permission period by a preset period is blocked creating on a chain;encrypting and storing the original product information and metadata corresponding to the original product information in an internal or external storage;generating a hash value accessible to the stored metadata;storing the generated hash value and the token identification symbol assigned to the generated non-fungible tokens to match each other in the block chain; and owner addresses corresponding to at least some of the non-fungible tokens of the non-fungible tokens corresponding to the original product information based on a use permission request received from the user terminal of the first seller who wants to use the original product information. changing from at least one second merchant to the first merchant; wherein the changing of owner addresses corresponding to the at least some non-fungible tokens to the first merchant includes: When the total quantity of non-fungible tokens to which the same token identification symbol as the tokens is given and the quantity of the at least some non-fungible tokens are not the same, when a use permit period corresponding to the number of the at least some non-fungible tokens elapses, automatically restoring owner addresses corresponding to the at least some non-fungible tokens to the at least one second merchant.</t>
  </si>
  <si>
    <t>Choi, Yun Jae</t>
  </si>
  <si>
    <t>G06Q0030061900</t>
  </si>
  <si>
    <t>G06Q0030061900 | G06F0040186000 | G06F0040580000 | G06N0020000000 | G06Q0030018500 | G06Q0030020100 | G06Q0030028100 | G06Q0030064100 | G06T0019003000 | H04L0009323600 | H04L0009500000</t>
  </si>
  <si>
    <t>G06Q03006000 | G06F04058000 | G06N02000000 | G06T01900000 | H04L00932000 | H04L06710970 | H04L06753000</t>
  </si>
  <si>
    <t>KR102459466B1|KR20220149643A|KR20220149644A|KR20220149645A</t>
  </si>
  <si>
    <t>KR102459466 B1 | KR20220149643 A | KR20220149644 A | KR20220149645 A</t>
  </si>
  <si>
    <t>I-000231724229</t>
  </si>
  <si>
    <t>20 years from 2022-02-11 (file date)</t>
  </si>
  <si>
    <t>https://patentscout.innography.com/share/uK9aYi8I8avVxLyWo-vDOg%3D%3D</t>
  </si>
  <si>
    <t>2022-09-02-DECISION TO GRANT OR REGISTRATION OF PATENT RIGHT|2022-10-21-WRITTEN DECISION TO GRANT|2022-10-21-DIVISIONAL APPLICATION OF PATENT</t>
  </si>
  <si>
    <t>https://patentscout.innography.com/share/uK9aYi8I8avVxLyWo-vDOg%3D%3D/download</t>
  </si>
  <si>
    <t>https://v3.espacenet.com/publicationDetails/biblio?CC=KR&amp;NR=102459466B1&amp;KC=B1&amp;FT=D&amp;date=20221027&amp;DB=EPODOC&amp;locale=</t>
  </si>
  <si>
    <t>KR20102459466 B1</t>
  </si>
  <si>
    <t>1.  An integrated management method for global e-commerce based on Metabus and Non-Fungible Token (NFT) performed in an integrated management server, the method comprising: receiving product data of a product from a source shopping mall server in a first station;receiving at least one product registration template from a target shopping mall server of a second station;generating a standard registration template by using the at least one product registration template;converting the product data according to the standard registration template to generate product information of the product;transmitting the product information to the target shopping mall server to register the product; and updating the product information at a set update cycle using product attribute information and buyer activity information of the product, wherein the standard registration template includes essential product configuration data and optional product configuration data, and In the step of generating product information, by using a product data estimation model that is an artificial neural network model, the essential product configuration data of the product information is generated, and before or after the step of generating the product information, own product information receiving a registration request including a seller address, original product information, and a maximum usage permission period corresponding to the original product information from a user terminal of a seller who wants to be uniquely registered;In response to the received registration request, a unique token identification symbol corresponding to the original product information is commonly allocated, and a plurality of non-fungible tokens corresponding to a number obtained by dividing the maximum use permission period by a preset period is blocked creating on a chain;encrypting and storing the original product information and metadata corresponding to the original product information in an internal or external storage;generating a hash value accessible to the stored metadata;storing the generated hash value and the token identification symbol assigned to the generated non-fungible tokens to match each other in the block chain; and owner addresses corresponding to at least some of the non-fungible tokens of the non-fungible tokens corresponding to the original product information based on a use permission request received from the user terminal of the first seller who wants to use the original product information. changing from at least one second merchant to the first merchant; wherein the changing of owner addresses corresponding to the at least some non-fungible tokens to the first merchant includes: When the total quantity of non-fungible tokens to which the same token identification symbol as the tokens is given and the quantity of the at least some non-fungible tokens are not the same, when a use permit period corresponding to the number of the at least some non-fungible tokens elapses and automatically restoring owner addresses corresponding to the at least some non-fungible tokens to the at least one second seller.</t>
  </si>
  <si>
    <t>8.  An integrated management server for global e-commerce based on metaverse and NFT, comprising: at least one processor; and a memory storing instructions instructing the at least one processor to perform at least one operation, wherein the at least one operation is performed to a source shopping mall server of a first station. receiving product data of the route product;receiving at least one product registration template from a target shopping mall server of a second station;generating a standard registration template by using the at least one product registration template;converting the product data according to the standard registration template to generate product information of the product;transmitting the product information to the target shopping mall server to register the product; and updating the product information at a set update cycle using product attribute information and buyer activity information of the product, wherein the standard registration template is composed of essential product configuration data and optional product configuration data, and the product information The generating step uses a product data estimation model, which is an artificial neural network model, to generate the essential product configuration data of the product information, and before or after the step of generating the product information, to uniquely register your product information receiving a registration request including a seller address, original product information, and a maximum usage permission period corresponding to the original product information from the seller's user terminal;In response to the received registration request, a unique token identification symbol corresponding to the original product information is commonly allocated, and a plurality of non-fungible tokens corresponding to a number obtained by dividing the maximum use permission period by a preset period is blocked creating on a chain;encrypting and storing the original product information and metadata corresponding to the original product information in an internal or external storage;generating a hash value accessible to the stored metadata;storing the generated hash value and the token identification symbol assigned to the generated non-fungible tokens to match each other in the block chain; and owner addresses corresponding to at least some of the non-fungible tokens of the non-fungible tokens corresponding to the original product information based on a use permission request received from the user terminal of the first seller who wants to use the original product information. changing from at least one second merchant to the first merchant; wherein the changing of owner addresses corresponding to the at least some non-fungible tokens to the first merchant includes: When the total quantity of non-fungible tokens to which the same token identification symbol as the tokens is given and the quantity of the at least some non-fungible tokens are not the same, when a use permit period corresponding to the number of the at least some non-fungible tokens elapses, automatically restoring owner addresses corresponding to the at least some non-fungible tokens to the at least one second merchant.</t>
  </si>
  <si>
    <t>9.  An integrated management system for global e-commerce based on metaverse and NFT, comprising: a source shopping mall server operating a source shopping mall in a first station;a target shopping mall server that operates a target shopping mall in a second station;a user terminal of a seller who wants to register a product registered in the source shopping mall in the target shopping mall; and an integrated management server providing an integrated product management service to the user terminal by interworking with the source shopping mall server and the target shopping mall server, wherein the integrated management server includes: at least one processor; and a memory storing instructions instructing the at least one processor to perform at least one operation, wherein the at least one operation is performed to a source shopping mall server of a first station. receiving product data of the route product;receiving at least one product registration template from a target shopping mall server of a second station;generating a standard registration template by using the at least one product registration template;converting the product data according to the standard registration template to generate product information of the product;transmitting the product information to the target shopping mall server to register the product; and updating the product information at a set update cycle using product attribute information and purchaser activity information of the product, wherein the standard registration template includes essential product configuration data and optional product configuration data, and the product In the information generation step, by using a product data estimation model that is an artificial neural network model, the essential product configuration data of the product information is generated, and before or after the step of generating the product information, uniquely registers own product information. receiving a registration request including a seller address, original product information, and a maximum usage permission period corresponding to the original product information from a user terminal of a seller to be received;In response to the received registration request, a unique token identification symbol corresponding to the original product information is commonly allocated, and a plurality of non-fungible tokens corresponding to a number obtained by dividing the maximum use permission period by a preset period is blocked creating on a chain;encrypting and storing the original product information and metadata corresponding to the original product information in an internal or external storage;generating a hash value accessible to the stored metadata;storing the generated hash value and the token identification symbol assigned to the generated non-fungible tokens to match each other in the block chain; and owner addresses corresponding to at least some of the non-fungible tokens of the non-fungible tokens corresponding to the original product information based on a use permission request received from the user terminal of the first seller who wants to use the original product information. changing from at least one second merchant to the first merchant; wherein the changing of owner addresses corresponding to the at least some non-fungible tokens to the first merchant includes: When the total quantity of non-fungible tokens to which the same token identification symbol as the tokens is given and the quantity of the at least some non-fungible tokens are not the same, when a use permit period corresponding to the number of the at least some non-fungible tokens elapses, automatically restoring owner addresses corresponding to the at least some non-fungible tokens to the at least one second merchant.</t>
  </si>
  <si>
    <t>KR102185016 B1 | KR102231586 B1 | KR102255181 B1 | KR20140036555 A | KR20140133373 A | KR20160018436 A | KR20210032786 A</t>
  </si>
  <si>
    <t>The present invention relates to a system for providing a metaverse-based 4D immersive service that provides a sense of presence and immersion by performing sports play through the metaverse and providing a user with sounds vibrations etc. generated during sports play. A system for providing a metaverse-based 4D immersive service according to an embodiment of the present invention includes an exercise device including a camera for photographing a user&amp;#39;s motion a sensor for detecting the user&amp;#39;s motion the camera and the exercise device a server that analyzes a user&amp;#39;s movement obtained from and a display device on which game play results are displayed.</t>
  </si>
  <si>
    <t>System for providind mataverse-based 4d immersive service</t>
  </si>
  <si>
    <t>KR20220063500A</t>
  </si>
  <si>
    <t>A system for providing a metaverse-based 4D immersive service, comprising: a camera for capturing movement of a user and an exercise device used by the user;a server that analyzes the image captured by the camera to analyze the movement of the user and the exercise device, and controls the avatar generated in the virtual space to operate according to the user's movement; and a display device for displaying the virtual space provided from the server. Including, wherein the server compares the movement of the user and the exercise device with the movement of a pre-stored database, and selects reference data most similar to the movement of the user and the exercise device from the pre-stored database, When the play result of the selected reference data is selected as the game play result of the user, and the similarity between the movement of the user and the exercise device and the selected reference data is less than a preset value, the user and the exercise device Calculates a difference between the movement of and the selected reference data, predicts the user's game play result based on the calculated difference, and the pre-stored database analyzes an actual sports game image to perform an athletic game That includes reference data stored by referencing the movement of the player, the movement of the exercise tool used by the player, and the result according to the movement of the player and the movement of the exercise tool, A system for providing metaverse-based 4D immersive service.</t>
  </si>
  <si>
    <t>A system for providing a metaverse-based 4D immersive service, comprising: a camera for capturing movement of a user and an exercise device used by the user;a server that analyzes the image captured by the camera to analyze the movement of the user and the exercise device, and controls the avatar generated in the virtual space to operate according to the user's movement; and a display device for displaying the virtual space provided from the server. Including, wherein the server compares the movement of the user and the exercise device with the movement of a pre-stored database, and selects reference data most similar to the movement of the user and the exercise device from the pre-stored database, When the play result of the selected reference data is selected as the game play result of the user, and the similarity between the movement of the user and the exercise device and the selected reference data is less than a preset value, the user and the exercise device Calculates a difference between the movement of and the selected reference data, predicts the user's game play result based on the calculated difference, and the pre-stored database analyzes an actual sports game image to perform an athletic game That includes reference data stored by referencing the movement of the player, the movement of the exercise tool used by the player, and the result according to the movement of the player and the movement of the exercise tool, A system for providing metaverse-based 4D immersive service.
delete
delete
delete
delete
The method according to claim 1, wherein the server acquires an image of a place where an actual sports game is performed and a surrounding environment of a player who performs an actual sports game, and a sound generated when the actual sports game is performed and an actual sports game Acquires a voice recorded with a sound generated according to the movement of a player performing A system for providing a metaverse-based 4D immersive service that implements sound in the virtual space as a basis.
The method of claim 1, further comprising: a speaker for outputting sound according to a control signal received from the server; and a vibration device for generating vibration according to a control signal received from the server. further comprising, wherein the server determines a sound to be generated according to the progress of a game played in the virtual space and the movement of the user, controls the determined sound to be output from the speaker, and progresses a game played in the virtual space A system for providing a metaverse-based 4D immersive service that determines the magnitude and time of vibration to be generated according to a situation and the user's movement, and controls the determined vibration to occur in the vibration device.
According to claim 1, wherein the server, when users corresponding to the number of games to be played in the virtual space are connected, the game is played, and the game play result according to the movement of each user is displayed by all users participating in the game A system for providing a metaverse-based 4D immersive service that provides the same to users and provides information for guiding the progress of the game.
The meta of claim 1, wherein the server changes attribute information including at least one of a resolution, a theme, and a filter of an image according to a setting of the user, and provides the image to which the attribute information is applied to the display device. A system for providing bus-based 4D immersive services.
The method of claim 1, wherein the server provides a reward to game participants according to a game result, obtains an input from the user for customizing the avatar using the reward, and according to the input obtained from the user A system for providing a metaverse-based 4D immersive service that generates the avatar.
The system of claim 10, wherein the server provides a virtual asset corresponding to the game result according to the result of the game.</t>
  </si>
  <si>
    <t>G06Q05010000 | A63B02400000 | G02B02701000 | G06F00300000 | G06F00301000 | G06F00316000 | G06T01340000 | G06T01900000 | H04N00523200</t>
  </si>
  <si>
    <t>KR102461485B1</t>
  </si>
  <si>
    <t>KR102461485 B1</t>
  </si>
  <si>
    <t>I-000232497514</t>
  </si>
  <si>
    <t>https://patentscout.innography.com/share/2ROH4GBAHV4jUBrmDYkvGw%3D%3D</t>
  </si>
  <si>
    <t>2022-10-26-DECISION TO GRANT OR REGISTRATION OF PATENT RIGHT|2022-10-27-WRITTEN DECISION TO GRANT</t>
  </si>
  <si>
    <t>https://patentscout.innography.com/share/2ROH4GBAHV4jUBrmDYkvGw%3D%3D/download</t>
  </si>
  <si>
    <t>https://v3.espacenet.com/publicationDetails/biblio?CC=KR&amp;NR=102461485B1&amp;KC=B1&amp;FT=D&amp;date=20221101&amp;DB=EPODOC&amp;locale=</t>
  </si>
  <si>
    <t>KR20102461485 B1</t>
  </si>
  <si>
    <t>1.  A system for providing a metaverse-based 4D immersive service, comprising: a camera for capturing movement of a user and an exercise device used by the user;a server that analyzes the image captured by the camera to analyze the movement of the user and the exercise device, and controls the avatar generated in the virtual space to operate according to the user's movement; and a display device for displaying the virtual space provided from the server. Including, wherein the server compares the movement of the user and the exercise device with the movement of a pre-stored database, and selects reference data most similar to the movement of the user and the exercise device from the pre-stored database, When the play result of the selected reference data is selected as the game play result of the user, and the similarity between the movement of the user and the exercise device and the selected reference data is less than a preset value, the user and the exercise device Calculates a difference between the movement of and the selected reference data, predicts the user's game play result based on the calculated difference, and the pre-stored database analyzes an actual sports game image to perform an athletic game That includes reference data stored by referencing the movement of the player, the movement of the exercise tool used by the player, and the result according to the movement of the player and the movement of the exercise tool, A system for providing metaverse-based 4D immersive service.</t>
  </si>
  <si>
    <t>1 The present invention is the world&amp;#39;s most advanced science new invention digital video sns ilove Santa as ilove Santa 2 Tasks to be solved ilove Santa Newly developed ilove Santa Angel Internet metaverse empire with built-in sns video is created and operated To solve 3 tasks the world&amp;#39;s most advanced science metaverse ilove Santa Angel Internet empire was created to share ilove Santa video SNS and ilove Santa Angel charity game and ilove Santa Angel shopping mall was established to generate profits for charity activities 4 Effects The present invention is St. Nicholas Turkey With the motif of Bishop Santa Clauss Santa charitable activities we resurrected it as a modern social internet metaverse program and produced 1004 animals of Santa Angel as Hong Gil-dong and King Sejong the Great ilove Santa Angel Charity activity by making money with the Internet Empire shopping mall and making Santa gift boxes is the purpose</t>
  </si>
  <si>
    <t>Omitted</t>
  </si>
  <si>
    <t>omitted|Santa|angel|empire|live broadcast</t>
  </si>
  <si>
    <t>Shin, Dong Cheol</t>
  </si>
  <si>
    <t>KR20210122510A</t>
  </si>
  <si>
    <t>ilove santa angel metaverse internet empire ilove santa angel santa gift box making sharing charity game new invention ilove santa sns video podcast ilove santa angel art troupe Internet live broadcast</t>
  </si>
  <si>
    <t>G06Q0050100000 | G06Q0030060100 | G06Q0050010000 | G06Q0050220000 | G06T0019003000</t>
  </si>
  <si>
    <t>G06Q05010000 | G06Q03006000 | G06Q05000000 | G06Q05022000 | G06T01900000</t>
  </si>
  <si>
    <t>KR20210120933A</t>
  </si>
  <si>
    <t>KR20210120933 A</t>
  </si>
  <si>
    <t>I-000217972215</t>
  </si>
  <si>
    <t>https://patentscout.innography.com/share/zs6iuor9Hgl1nEC5PYOhBw%3D%3D</t>
  </si>
  <si>
    <t>https://patentscout.innography.com/share/zs6iuor9Hgl1nEC5PYOhBw%3D%3D/download</t>
  </si>
  <si>
    <t>https://v3.espacenet.com/publicationDetails/biblio?CC=KR&amp;NR=20210120933A&amp;KC=A&amp;FT=D&amp;date=20211007&amp;DB=EPODOC&amp;locale=</t>
  </si>
  <si>
    <t>1.  ilove santa angel metaverse internet empire ilove santa angel santa gift box making sharing charity game new invention ilove santa sns video podcast ilove santa angel art troupe Internet live broadcast</t>
  </si>
  <si>
    <t>KR101546391 B1 | KR102255598 B1 | KR20140036555 A</t>
  </si>
  <si>
    <t>2021-09-30</t>
  </si>
  <si>
    <t>2041-09-30</t>
  </si>
  <si>
    <t>According to an embodiment of the present invention a method for performing a non-face-to-face evaluation includes: transmitting metaverse environment data from an evaluation organizer server to a subject terminal; displaying a metaverse environment including an image object corresponding to the subject and an image object corresponding to the test environment on the display of the subject terminal based on the metaverse environment data; displaying the content corresponding to the non-face-to-face evaluation on the display of the subject terminal based on the movement of the image object corresponding to the subject to a predetermined position by a user input through the input interface of the subject terminal; acquiring image data using a camera of the subject terminal; acquiring audio data by an audio input device of the subject terminal; transmitting the image data and the audio data to the evaluation host server by a communication circuit of the subject terminal; confirming in the evaluation host server that a suspected misconduct situation has occurred based on the image data and the audio data; and in response to the occurrence of the suspected misconduct situation in the evaluation host server storing information on the suspected misconduct situation.</t>
  </si>
  <si>
    <t>Method of detecting cheating for exams in meatverse environment based on image data processing</t>
  </si>
  <si>
    <t>Kvai</t>
  </si>
  <si>
    <t>KVAI</t>
  </si>
  <si>
    <t>KR20210129966A</t>
  </si>
  <si>
    <t>A method for performing a non-face-to-face assessment comprising:transmitting metaverse environment data from the evaluation host server to the subject terminal;displaying a metaverse environment including an image object corresponding to the subject and an image object corresponding to the evaluation environment based on the metaverse environment data on the display of the subject terminal;displaying the content corresponding to the non-face-to-face evaluation on the display of the subject terminal based on the movement of the image object corresponding to the subject to a predetermined position by a user input through the input interface of the subject terminal;before the non-face-to-face evaluation starts, displaying a marker moving along a border of a display of the subject terminal;acquiring marker image data by a camera of the subject terminal while the marker is displayed;transmitting the marker image data to the evaluation host server by a communication circuit of the subject terminal; and determining, in the evaluation host server, a standard gaze angle range of the subject based on the marker image data.acquiring image data by the camera of the subject terminal while the non-face-to-face evaluation is in progress;acquiring audio data by an audio input device of the subject terminal while the non-face-to-face evaluation is in progress;transmitting the image data and the audio data to the evaluation host server by a communication circuit of the subject terminal;confirming, in the evaluation host server, that a suspected misconduct situation has occurred based on the image data and the audio data; and in response to the occurrence of the suspected misconduct situation in the evaluation host server, storing information on the suspected misconduct situation, wherein the evaluation host server confirms that the suspected misconduct situation has occurred The step of performing a non-face-to-face evaluation comprising the step of analyzing the image data in the evaluation host server, and detecting that the gaze angle of the subject deviates from the standard gaze angle.</t>
  </si>
  <si>
    <t>A method for performing a non-face-to-face assessment comprising:transmitting metaverse environment data from the evaluation host server to the subject terminal;displaying a metaverse environment including an image object corresponding to the subject and an image object corresponding to the evaluation environment based on the metaverse environment data on the display of the subject terminal;displaying the content corresponding to the non-face-to-face evaluation on the display of the subject terminal based on the movement of the image object corresponding to the subject to a predetermined position by a user input through the input interface of the subject terminal;before the non-face-to-face evaluation starts, displaying a marker moving along a border of a display of the subject terminal;acquiring marker image data by a camera of the subject terminal while the marker is displayed;transmitting the marker image data to the evaluation host server by a communication circuit of the subject terminal; and determining, in the evaluation host server, a standard gaze angle range of the subject based on the marker image data.acquiring image data by the camera of the subject terminal while the non-face-to-face evaluation is in progress;acquiring audio data by an audio input device of the subject terminal while the non-face-to-face evaluation is in progress;transmitting the image data and the audio data to the evaluation host server by a communication circuit of the subject terminal;confirming, in the evaluation host server, that a suspected misconduct situation has occurred based on the image data and the audio data; and in response to the occurrence of the suspected misconduct situation in the evaluation host server, storing information on the suspected misconduct situation, wherein the evaluation host server confirms that the suspected misconduct situation has occurred The step of performing a non-face-to-face evaluation comprising the step of analyzing the image data in the evaluation host server, and detecting that the gaze angle of the subject deviates from the standard gaze angle.
The method of claim 1, wherein the displaying of the marker moving along the edge of the display of the subject terminal comprises: displaying a first marker moving along the edge at a first speed and at a second speed different from the first speed Displaying a second marker moving along the border, wherein the acquiring of the marker image data by the camera of the subject terminal while the marker is displayed may include displaying the first marker image while the first marker is displayed. acquiring data and acquiring second marker image data while the second marker is displayed, the method comprising:checking a first movement speed of the subject's gaze angle based on the first marker image data in the evaluation host server;checking, in the evaluation host server, a second movement speed of the subject's gaze angle based on the second marker image data; and confirming the reliability of the first marker image data and the second marker image data based on the first speed, the second speed, the first moving speed, and the second moving speed in the evaluation host server A method for performing a non-face-to-face evaluation, further comprising the step of:
A method for performing a non-face-to-face assessment comprising:Before the non-face-to-face evaluation is started, displaying a marker moving along the edge of the display of the subject terminal;acquiring marker image data by a camera of the subject terminal while the marker is displayed;transmitting the marker image data to the evaluation host server by a communication circuit of the subject terminal; and determining, in the evaluation host server, a standard gaze angle range of the subject based on the marker image data. Acquiring image data by the camera of the subject terminal while the non-face-to-face evaluation is in progress;acquiring audio data by an audio input device of the subject terminal;transmitting the image data and the audio data to an evaluation host server by a communication circuit of the subject terminal;confirming, in the evaluation host server, that a suspected misconduct situation has occurred based on the image data and the audio data; and in response to the occurrence of the suspected misconduct situation in the evaluation host server, storing information on the suspected misconduct situation, wherein the evaluation host server confirms that the suspected misconduct situation has occurred The steps to do are:analyzing the image data in the evaluation host server and detecting a person other than the subject in the image corresponding to the image data;analyzing the image data in the evaluation host server, and detecting that there is no subject in the image corresponding to the image data; analyzing the image data in the evaluation host server to detect a movement of a background other than the subject in the image; analyzing the audio data in the evaluation host server to detect a voice of a person other than the subject; or analyzing the image data in the evaluation host server to detect that the gaze angle of the subject deviates from the standard gaze angle.
The method of claim 3 , wherein the displaying of the marker moving along the edge of the display of the subject terminal comprises: displaying a first marker moving along the edge at a first speed and at a second speed different from the first speed Displaying a second marker moving along the border, wherein the acquiring of the marker image data by the camera of the subject terminal while the marker is displayed may include displaying the first marker image while the first marker is displayed. acquiring data and acquiring second marker image data while the second marker is displayed, the method comprising:checking a first movement speed of the subject's gaze angle based on the first marker image data in the evaluation host server;checking, in the evaluation host server, a second movement speed of the subject's gaze angle based on the second marker image data; and confirming the reliability of the first marker image data and the second marker image data based on the first speed, the second speed, the first moving speed, and the second moving speed in the evaluation host server A method for performing a non-face-to-face evaluation, further comprising the step of:
4. The method of claim 3, wherein the method comprises:before the non-face-to-face evaluation is started, displaying a first test text in a first area among a plurality of areas of a display of the subject terminal;acquiring first test audio data by the audio input device of the subject terminal while the first test text is displayed;transmitting the first test audio data to the evaluation host server by a communication circuit of the subject terminal;analyzing, at the evaluation host server, the first test audio data to determine whether the first test audio data corresponds to the first test text; transmitting, by the evaluation host server, a video data request to the subject terminal in response to determining that the first test audio data does not correspond to the first test text;obtaining, in the terminal of the subject, first test image data through the camera in response to the image data request;transmitting the first test image data to the evaluation host server by a communication circuit of the subject terminal; and storing the first test image data as information on the suspected misconduct situation in the evaluation host server.</t>
  </si>
  <si>
    <t>Woo, Won Sik</t>
  </si>
  <si>
    <t>G06Q05020000 | G06F00316000 | G06K00900000 | G06Q05010000 | G06T00713000 | G06T01900000 | H04N00523200</t>
  </si>
  <si>
    <t>KR102388735B1</t>
  </si>
  <si>
    <t>KR102388735 B1</t>
  </si>
  <si>
    <t>I-000225101925</t>
  </si>
  <si>
    <t>20 years from 2021-09-30 (file date)</t>
  </si>
  <si>
    <t>https://patentscout.innography.com/share/kd3kzxDuEMdEEx5ou8wYtg%3D%3D</t>
  </si>
  <si>
    <t>2022-04-14-DECISION TO GRANT OR REGISTRATION OF PATENT RIGHT|2022-04-15-WRITTEN DECISION TO GRANT</t>
  </si>
  <si>
    <t>https://patentscout.innography.com/share/kd3kzxDuEMdEEx5ou8wYtg%3D%3D/download</t>
  </si>
  <si>
    <t>https://v3.espacenet.com/publicationDetails/biblio?CC=KR&amp;NR=102388735B1&amp;KC=B1&amp;FT=D&amp;date=20220420&amp;DB=EPODOC&amp;locale=</t>
  </si>
  <si>
    <t>KR20102388735 B1</t>
  </si>
  <si>
    <t>1.  A method for performing a non-face-to-face assessment comprising:transmitting metaverse environment data from the evaluation host server to the subject terminal;displaying a metaverse environment including an image object corresponding to the subject and an image object corresponding to the evaluation environment based on the metaverse environment data on the display of the subject terminal;displaying the content corresponding to the non-face-to-face evaluation on the display of the subject terminal based on the movement of the image object corresponding to the subject to a predetermined position by a user input through the input interface of the subject terminal;before the non-face-to-face evaluation starts, displaying a marker moving along a border of a display of the subject terminal;acquiring marker image data by a camera of the subject terminal while the marker is displayed;transmitting the marker image data to the evaluation host server by a communication circuit of the subject terminal; and determining, in the evaluation host server, a standard gaze angle range of the subject based on the marker image data.acquiring image data by the camera of the subject terminal while the non-face-to-face evaluation is in progress;acquiring audio data by an audio input device of the subject terminal while the non-face-to-face evaluation is in progress;transmitting the image data and the audio data to the evaluation host server by a communication circuit of the subject terminal;confirming, in the evaluation host server, that a suspected misconduct situation has occurred based on the image data and the audio data; and in response to the occurrence of the suspected misconduct situation in the evaluation host server, storing information on the suspected misconduct situation, wherein the evaluation host server confirms that the suspected misconduct situation has occurred The step of performing a non-face-to-face evaluation comprising the step of analyzing the image data in the evaluation host server, and detecting that the gaze angle of the subject deviates from the standard gaze angle.</t>
  </si>
  <si>
    <t>3.  A method for performing a non-face-to-face assessment comprising:Before the non-face-to-face evaluation is started, displaying a marker moving along the edge of the display of the subject terminal;acquiring marker image data by a camera of the subject terminal while the marker is displayed;transmitting the marker image data to the evaluation host server by a communication circuit of the subject terminal; and determining, in the evaluation host server, a standard gaze angle range of the subject based on the marker image data. Acquiring image data by the camera of the subject terminal while the non-face-to-face evaluation is in progress;acquiring audio data by an audio input device of the subject terminal;transmitting the image data and the audio data to an evaluation host server by a communication circuit of the subject terminal;confirming, in the evaluation host server, that a suspected misconduct situation has occurred based on the image data and the audio data; and in response to the occurrence of the suspected misconduct situation in the evaluation host server, storing information on the suspected misconduct situation, wherein the evaluation host server confirms that the suspected misconduct situation has occurred The steps to do are:analyzing the image data in the evaluation host server and detecting a person other than the subject in the image corresponding to the image data;analyzing the image data in the evaluation host server, and detecting that there is no subject in the image corresponding to the image data; analyzing the image data in the evaluation host server to detect a movement of a background other than the subject in the image; analyzing the audio data in the evaluation host server to detect a voice of a person other than the subject; or analyzing the image data in the evaluation host server to detect that the gaze angle of the subject deviates from the standard gaze angle.</t>
  </si>
  <si>
    <t>KR20050105572 A | KR102122563 B1 | KR20130084274 A | KR20150022064 A | KR20210054618 A | KR20210077310 A | KR20210086837 A</t>
  </si>
  <si>
    <t>2022-03-29</t>
  </si>
  <si>
    <t>2042-03-29</t>
  </si>
  <si>
    <t>The present invention provides an immersive metaverse-based space that guides product items provided in an actual offline store to be viewed online based on augmented reality and guides consumers to purchase while comparing various products similar to the corresponding product they want to purchase. It relates to a management operating system comprising: a store manager terminal 100 equipped with an app for store management that transmits a store creation request signal for requesting a view of an offline store operated by a store manager based on augmented reality; With reference to the store creation request signal transmitted from the store manager terminal 100 the store shooting video image which is an image captured by a 360-degree camera of the offline store is displayed on the ceiling surface floor surface front side rear side and left side. and a rendering engine 220 that divides into the right side and renders the cube store image and sets two-dimensional coordinates on the ceiling surface the floor surface the front side the rear side the left side and the right side respectively constituting the cube store image and an augmented reality store management server 200 comprising a coordinate setting engine 230 that processes the coordinate setting cube store image and transmits the processed coordinate setting cube store image.</t>
  </si>
  <si>
    <t>Metabus based virtual space management system</t>
  </si>
  <si>
    <t>Selvers Inc.</t>
  </si>
  <si>
    <t>Selver As</t>
  </si>
  <si>
    <t>Selver AS</t>
  </si>
  <si>
    <t>KR20220038957A</t>
  </si>
  <si>
    <t>A store manager terminal 100 equipped with an app for store management that transmits a store creation request signal that requests to be able to view an offline store operated by the store manager based on augmented reality; With reference to the store creation request signal transmitted from the store manager terminal 100, the store shooting video image, which is an image captured by a 360-degree camera of the offline store, is displayed on the ceiling surface, floor surface, front side, rear side, and left side. and a rendering engine 220 for generating a cube store image by dividing it into a right side, and setting two-dimensional coordinates on the ceiling surface, floor surface, front side, rear side, left side, and right side, respectively, constituting the cube store image and the augmented reality store management server 200 consisting of a coordinate setting engine 230 that processes the coordinate setting cube store image and transmits the processed coordinate setting cube store image; After logging in through the login screen 510, the store management app is a store list screen 520 in which a virtual space, which is an augmented reality store content for detailed information confirmation built on the basis of augmented reality, is displayed as a list of offline stores operated by the store manager.) is output through the information output unit 120, When the store creation menu 522 provided on the output store list screen 520 is clicked, a store creation request signal is transmitted, and the augmented reality store management server 200 requests a store creation from the store manager terminal 100. When the signal is transmitted, the rendering engine 220 is operated to extract the store-photographed image image of the store manager from the store-specific photographed image information DB 212 with reference to the transmitted store creation request signal, and the extracted corresponding Transmitting a store image selection request signal for requesting selection of a store filmed video image to create a virtual space from among the store filmed image images owned by the store manager, the store manager The store management app of the terminal 100 receives the store image selection request signal from the augmented reality store management server 200, and outputs the store shooting video image included in the transmitted store image selection request signal to the information output unit 120 output through and when any one of the store shooting image images is selected from the outputted store shooting image image, Generates and transmits a store image selection signal including the selected store photographed image image, and the rendering engine 220 of the augmented reality store management server 200 refers to the store creation request signal transmitted from the store manager terminal 100. Thus, the selected store-photographed image image is divided into a ceiling surface, a floor surface, a front side, a rear side, a left side and a right side, and renders it to generate a cube store image, and the augmented reality store management server 200 sets the coordinates By operating the engine 230, two-dimensional coordinates are set respectively on the ceiling surface, floor surface, front side, rear side, left side and right side that make up the cube store image, and after processing it into a coordinate setting cube store image, it is transmitted, The store management app of the store manager terminal 100 receives the coordinate setting cube store image from the augmented reality store management server 200, and inserts the transmitted coordinate setting cube store image into the information matching request screen 530 to control to be output through the information output unit 120, The information matching request screen 530 includes an image display area 531 in which a coordinate setting cube store image is displayed, an information matching menu 532 for requesting information matching on a coordinate setting cube store image, and the information matching menu 532 It is a pop-up output when clicking and it includes an information matching window 533 that displays matching information names as a list on the coordinate setting cube store image, and the information matching window 533 requests mosaic processing around the selected area. A blur addition request menu 533a is provided, and the augmented reality store management server 200 recognizes a product item among each side displayed in the coordinate setting cube store image, and indicates the product characteristic of the recognized product item. The store product matching engine 240 for processing the item details into augmented reality store contents for confirming detailed information by matching the detailed information; further comprising, The store management app of the store manager terminal 100 selects any one place on the coordinate setting cube store image displayed in the image display area 531 after the store manager clicks the blur addition request menu 533a, Generates and transmits a blur request signal including the coordinates of the selected area indicating the coordinates of the selected area, and the augmented reality store management server 200 receives the blur request signal from the store manager terminal 100, matching store products By operating the engine 240 and the rendering engine 220, the area corresponding to the coordinates of the selected area included in the blur request signal on the coordinate setting cube store image is blurred to the blur processing area 533a1. After processing the blur processing coordinate setting cube store image, it is transmitted, and the store management app of the store manager terminal 100 receives the blur processing coordinate setting cube store image from the augmented reality store management server 200, The transmitted blur processing coordinate setting cube store image is inserted into the information matching request screen 530 and outputted through the information output unit 120, and the information matching window 533 requests that the promotional image be always output in a designated area. An image area addition request menu 533b is provided, and the augmented reality store management server 200 recognizes a product item among each side displayed in the coordinate setting cube store image, and displays the product characteristics of the recognized product item. The store product matching engine 240 for matching the product item detailed information indicated and processing it into augmented reality store content for detailed information confirmation; further comprising, the store management app of the store manager terminal 100 allows the store manager to use the image After clicking the area addition request menu 533b, if any one is designated on the coordinate setting cube store image displayed in the image display area 531, the image area addition request including the coordinates of the designated area indicating the coordinates of the designated area to generate and transmit a signal, The augmented reality store management server 200 operates the store product matching engine 240 when a video area addition request signal is transmitted from the store manager terminal 100 and refers to the transmitted video area addition request signal for each store. The promotional image information of the store manager is extracted from the promotional image information DB 213, and the extracted promotional image information of the store manager is included. Transmitting a promotional image selection request signal for requesting selection, the store management app of the store manager terminal 100 receives a promotional image selection request signal from the augmented reality store management server 200, and the transmitted promotional image The promotional image information included in the selection request signal is inserted into the promotional image selection request screen 540 and output through the information output unit 120, and displayed in the promotional image display area 541 of the promotional image selection request screen 540. If any one of the promotional video information is selected, Generates and transmits a promotional image selection signal including the selected promotional image information, and the augmented reality store management server 200 receives a promotional image selection signal from the store manager terminal 100, the store product matching engine 240) and the rendering engine 220 to insert the selected promotional image into the area corresponding to the specified area coordinates included in the video area addition request signal on the coordinate setting cube store image. After processing the coordinate setting cube store image and transmitting it, the store management app of the store manager terminal 100 receives the promotional image insertion processing coordinate setting cube store image from the augmented reality store management server 200, and the transmission Coordinate setting of the advertisement image insertion processing coordinate setting The cube store image is inserted into the information matching request screen 530 and outputted through the information output unit 120, and a promotional image is output when a designated area is selected in the information matching window 533. The requested video link addition request menu (533c) is provided, In the store management app of the store manager terminal 100, when the store manager clicks the video link addition request menu 533c, and specifies any one place on the coordinate setting cube store image displayed in the image display area 531,, to generate the coordinates of the designated area indicating the coordinates of the designated area, pop-up the link image information input window 534 on the information matching request screen 530, and output the pop-up link image information input window 534 of the In a state where the file name and image link address of the link promotion image to be linked are inputted to the file name input area 534a and the image link address input area 534b for inputting the link address of the link promotion image, respectively, the registration menu 534c is displayed. When clicked, it generates and transmits an image link addition request signal including the file name and image link address of the input link promotion image and the coordinates of the designated area, and the augmented reality store management server 200 is the store manager terminal 100), when a video link addition request signal is transmitted, the store product matching engine 240 and the rendering engine 220 are operated, By referring to the file name and video link address of the link promotional image included in the transmitted image link addition request signal, the promotional image information of the store manager is recognized in the store-specific promotional image information DB 213, and the coordinate setting cube store image Link promotional image file name display area 535a in which the file name of the promotional image linked to the area corresponding to the coordinates of the designated area included in the video link addition request signal is displayed on the link promotion image file name display area 535a After processing into a coordinate setting cube store image for displaying a link promotional image, which is a coordinate setting cube store image, which is a coordinate setting cube store image in which a promotional image link window 535 including a link button 535b is inserted, it is transmitted, and the store manager terminal 100 of the store management app receives the coordinate setting cube store image for displaying the link promotional image from the augmented reality store management server 200, and the information matching request screen 530 for the coordinate setting cube store image for displaying the transmitted link promotional image) and output through the information output unit 120, The information matching window 533 is provided with a product tag addition request menu 533d for requesting that detailed product item information indicating product characteristics of a product item located in a designated area is always output, and the store manager terminal 100 In the store management app, when the store manager clicks the product tag addition request menu 533d and then designates any one place on the coordinate setting cube store image displayed in the image display area 531, it indicates the coordinates of the designated area. Generates and transmits a product tag addition request signal including the coordinates of a designated area, and the augmented reality store management server 200 receives a product tag addition request signal from the store manager terminal 100, the store product matching engine 240 Based on the coordinates of the designated area included in the transmitted product tag addition request signal by operating the and rendering engine 220, the coordinate setting cube recognizes a product item among each side displayed in the store image, and recognizes the product of the recognized product item. The characteristics are extracted from the product item detail information DB 214 for each store, Insert the extracted product item detail information into the product item details display window 536, but insert the product item video image among the product item details into the product item image display area 536a of the product item details display window 536,, the product item detail display window 536 inserted in the product item description area 536b of the product item detail detail display window 536 with the product description details including the product name and price among the product item details, the coordinate setting cube store image Set coordinates inserted in the area corresponding to the coordinates of the designated area included in the product tag addition request signal on the cube store image, product item details insertion processing coordinate setting The cube store image is processed and then transmitted, and the store manager terminal (100) of the store management app receives a cube store image set for insert processing coordinates of product item details from the augmented reality store management server 200, The transmitted product item details insertion processing coordinate setting cube store image is inserted into the information matching request screen 530 and output through the information output unit 120, and the product located in the designated area in the information matching window 533 When an item is selected, a product link addition request menu 533e for requesting that detailed product item information indicating product characteristics be output is provided, and the store management app of the store manager terminal 100 allows the store manager to request the product link addition After clicking the menu 533e, if any one is designated on the coordinate setting cube store image displayed in the image display area 531, the coordinates of the designated area indicating the coordinates of the designated area are generated, and the information matching request screen 530) to pop-up the link product item information input window 537 on the The file name of the link product item to be linked to the file name input area 537a of the pop-up output link product item information input window 537 and the product item link address input area 537b for inputting the link address of the linked product item, respectively and when the registration menu 537c is clicked while the product item link address is input, a product item link addition request signal including the file name and product item link address of the inputted linked product item and the coordinates of the designated area is generated and transmitted and, the augmented reality store management server 200 operates the store product matching engine 240 and the rendering engine 220 when a product item link addition request signal is transmitted from the store manager terminal 100, and the transmitted Recognizing the product item details of the linked product item in the product item detail information DB 214 for each store by referring to the file name and product item link address of the linked product item included in the product item link addition request signal, When selecting the area corresponding to the coordinates of the designated area included in the request signal for adding a product item link on the coordinate setting cube store image, a link button 538 for product item output that displays the product item details of the linked product item is inserted and processed After processing the coordinate setting cube store image for displaying the link product item, which is the coordinate setting cube store image, it is transmitted, and the store management app of the store manager terminal 100 is a link product item from the augmented reality store management server 200 Receive the coordinate setting cube store image for display, insert the coordinate setting cube store image for displaying the transmitted linked product item into the information matching request screen 530 and output it through the information output unit 120, and the information matching window In (533), a space connection setting requesting that the store manager connect and view the virtual space desired by the store manager among a plurality of virtual spaces, which are augmented reality store contents for confirming detailed information built on the basis of augmented reality for the appearance of the offline store operated by the store manager A request menu 533f is provided, When the store manager clicks the space connection setting request menu 533f, the store management app of the store manager terminal 100 generates and transmits a virtual space connection request signal for requesting the connection of the virtual space, and the augmented reality When the virtual space connection request signal is transmitted from the store manager terminal 100, the store management server 200 operates the store product matching engine 240 to refer to the transmitted virtual space connection request signal, and confirm details for each store In the augmented reality store content information DB 215 for the augmented reality store content information DB 215, the virtual space that requests the selection of a virtual space requesting combination among the virtual space creation details, which is a detail related to a plurality of virtual spaces, which is the augmented reality store content for confirming detailed information made by the store manager Transmits a space selection request signal, the store management app of the store manager terminal 100 receives a virtual space selection request signal from the augmented reality store management server 200, and is included in the transmitted virtual space selection request signal Outputs the virtual space creation details through the information output unit 120, When a virtual space requesting combination is selected among the output virtual space creation details, a virtual space selection signal including the selected promotional image information including the selected virtual space is generated and transmitted, and the augmented reality store management server (200) is When the virtual space selection signal is transmitted from the store manager terminal 100, the store product matching engine 240 and the rendering engine 220 are operated, and each virtual space included in the virtual space selection signal on the coordinate setting cube store image is displayed. Insert the virtual space movement request button 539a that requests to sequentially move to the screen, insert the selected virtual space as a thumbnail image, and select the virtual space thumbnail image so that it can be moved to the screen of the virtual space Coordinate setting inserted as a virtual space thumbnail image (539b) for a link that links a space connection processing coordinate setting cube store image After processing into a cube store image, The store management app of the store manager terminal 100 receives the spatial connection processing coordinate setting cube store image from the augmented reality store management server 200, and requests information matching for the transmitted spatial connection processing coordinate setting cube store image It is inserted into the screen 530 and output through the information output unit 120, and the augmented reality store content for checking detailed information is an immersive metaverse-based space management operating system, characterized in that it is produced in HTML5.</t>
  </si>
  <si>
    <t>A store manager terminal 100 equipped with an app for store management that transmits a store creation request signal that requests to be able to view an offline store operated by the store manager based on augmented reality; With reference to the store creation request signal transmitted from the store manager terminal 100, the store shooting video image, which is an image captured by a 360-degree camera of the offline store, is displayed on the ceiling surface, floor surface, front side, rear side, and left side. and a rendering engine 220 for generating a cube store image by dividing it into a right side, and setting two-dimensional coordinates on the ceiling surface, floor surface, front side, rear side, left side, and right side, respectively, constituting the cube store image and the augmented reality store management server 200 consisting of a coordinate setting engine 230 that processes the coordinate setting cube store image and transmits the processed coordinate setting cube store image; After logging in through the login screen 510, the store management app is a store list screen 520 in which a virtual space, which is an augmented reality store content for detailed information confirmation built on the basis of augmented reality, is displayed as a list of offline stores operated by the store manager.) is output through the information output unit 120, When the store creation menu 522 provided on the output store list screen 520 is clicked, a store creation request signal is transmitted, and the augmented reality store management server 200 requests a store creation from the store manager terminal 100. When the signal is transmitted, the rendering engine 220 is operated to extract the store-photographed image image of the store manager from the store-specific photographed image information DB 212 with reference to the transmitted store creation request signal, and the extracted corresponding Transmitting a store image selection request signal for requesting selection of a store filmed video image to create a virtual space from among the store filmed image images owned by the store manager, the store manager The store management app of the terminal 100 receives the store image selection request signal from the augmented reality store management server 200, and outputs the store shooting video image included in the transmitted store image selection request signal to the information output unit 120 output through and when any one of the store shooting image images is selected from the outputted store shooting image image, Generates and transmits a store image selection signal including the selected store photographed image image, and the rendering engine 220 of the augmented reality store management server 200 refers to the store creation request signal transmitted from the store manager terminal 100. Thus, the selected store-photographed image image is divided into a ceiling surface, a floor surface, a front side, a rear side, a left side and a right side, and renders it to generate a cube store image, and the augmented reality store management server 200 sets the coordinates By operating the engine 230, two-dimensional coordinates are set respectively on the ceiling surface, floor surface, front side, rear side, left side and right side that make up the cube store image, and after processing it into a coordinate setting cube store image, it is transmitted, The store management app of the store manager terminal 100 receives the coordinate setting cube store image from the augmented reality store management server 200, and inserts the transmitted coordinate setting cube store image into the information matching request screen 530 to control to be output through the information output unit 120, The information matching request screen 530 includes an image display area 531 in which a coordinate setting cube store image is displayed, an information matching menu 532 for requesting information matching on a coordinate setting cube store image, and the information matching menu 532 It is a pop-up output when clicking and it includes an information matching window 533 that displays matching information names as a list on the coordinate setting cube store image, and the information matching window 533 requests mosaic processing around the selected area. A blur addition request menu 533a is provided, and the augmented reality store management server 200 recognizes a product item among each side displayed in the coordinate setting cube store image, and indicates the product characteristic of the recognized product item. The store product matching engine 240 for processing the item details into augmented reality store contents for confirming detailed information by matching the detailed information; further comprising, The store management app of the store manager terminal 100 selects any one place on the coordinate setting cube store image displayed in the image display area 531 after the store manager clicks the blur addition request menu 533a, Generates and transmits a blur request signal including the coordinates of the selected area indicating the coordinates of the selected area, and the augmented reality store management server 200 receives the blur request signal from the store manager terminal 100, matching store products By operating the engine 240 and the rendering engine 220, the area corresponding to the coordinates of the selected area included in the blur request signal on the coordinate setting cube store image is blurred to the blur processing area 533a1. After processing the blur processing coordinate setting cube store image, it is transmitted, and the store management app of the store manager terminal 100 receives the blur processing coordinate setting cube store image from the augmented reality store management server 200, The transmitted blur processing coordinate setting cube store image is inserted into the information matching request screen 530 and outputted through the information output unit 120, and the information matching window 533 requests that the promotional image be always output in a designated area. An image area addition request menu 533b is provided, and the augmented reality store management server 200 recognizes a product item among each side displayed in the coordinate setting cube store image, and displays the product characteristics of the recognized product item. The store product matching engine 240 for matching the product item detailed information indicated and processing it into augmented reality store content for detailed information confirmation; further comprising, the store management app of the store manager terminal 100 allows the store manager to use the image After clicking the area addition request menu 533b, if any one is designated on the coordinate setting cube store image displayed in the image display area 531, the image area addition request including the coordinates of the designated area indicating the coordinates of the designated area to generate and transmit a signal, The augmented reality store management server 200 operates the store product matching engine 240 when a video area addition request signal is transmitted from the store manager terminal 100 and refers to the transmitted video area addition request signal for each store. The promotional image information of the store manager is extracted from the promotional image information DB 213, and the extracted promotional image information of the store manager is included. Transmitting a promotional image selection request signal for requesting selection, the store management app of the store manager terminal 100 receives a promotional image selection request signal from the augmented reality store management server 200, and the transmitted promotional image The promotional image information included in the selection request signal is inserted into the promotional image selection request screen 540 and output through the information output unit 120, and displayed in the promotional image display area 541 of the promotional image selection request screen 540. If any one of the promotional video information is selected, Generates and transmits a promotional image selection signal including the selected promotional image information, and the augmented reality store management server 200 receives a promotional image selection signal from the store manager terminal 100, the store product matching engine 240) and the rendering engine 220 to insert the selected promotional image into the area corresponding to the specified area coordinates included in the video area addition request signal on the coordinate setting cube store image. After processing the coordinate setting cube store image and transmitting it, the store management app of the store manager terminal 100 receives the promotional image insertion processing coordinate setting cube store image from the augmented reality store management server 200, and the transmission Coordinate setting of the advertisement image insertion processing coordinate setting The cube store image is inserted into the information matching request screen 530 and outputted through the information output unit 120, and a promotional image is output when a designated area is selected in the information matching window 533. The requested video link addition request menu (533c) is provided, In the store management app of the store manager terminal 100, when the store manager clicks the video link addition request menu 533c, and specifies any one place on the coordinate setting cube store image displayed in the image display area 531,, to generate the coordinates of the designated area indicating the coordinates of the designated area, pop-up the link image information input window 534 on the information matching request screen 530, and output the pop-up link image information input window 534 of the In a state where the file name and image link address of the link promotion image to be linked are inputted to the file name input area 534a and the image link address input area 534b for inputting the link address of the link promotion image, respectively, the registration menu 534c is displayed. When clicked, it generates and transmits an image link addition request signal including the file name and image link address of the input link promotion image and the coordinates of the designated area, and the augmented reality store management server 200 is the store manager terminal 100), when a video link addition request signal is transmitted, the store product matching engine 240 and the rendering engine 220 are operated, By referring to the file name and video link address of the link promotional image included in the transmitted image link addition request signal, the promotional image information of the store manager is recognized in the store-specific promotional image information DB 213, and the coordinate setting cube store image Link promotional image file name display area 535a in which the file name of the promotional image linked to the area corresponding to the coordinates of the designated area included in the video link addition request signal is displayed on the link promotion image file name display area 535a After processing into a coordinate setting cube store image for displaying a link promotional image, which is a coordinate setting cube store image, which is a coordinate setting cube store image in which a promotional image link window 535 including a link button 535b is inserted, it is transmitted, and the store manager terminal 100 of the store management app receives the coordinate setting cube store image for displaying the link promotional image from the augmented reality store management server 200, and the information matching request screen 530 for the coordinate setting cube store image for displaying the transmitted link promotional image) and output through the information output unit 120, The information matching window 533 is provided with a product tag addition request menu 533d for requesting that detailed product item information indicating product characteristics of a product item located in a designated area is always output, and the store manager terminal 100 In the store management app, when the store manager clicks the product tag addition request menu 533d and then designates any one place on the coordinate setting cube store image displayed in the image display area 531, it indicates the coordinates of the designated area. Generates and transmits a product tag addition request signal including the coordinates of a designated area, and the augmented reality store management server 200 receives a product tag addition request signal from the store manager terminal 100, the store product matching engine 240 Based on the coordinates of the designated area included in the transmitted product tag addition request signal by operating the and rendering engine 220, the coordinate setting cube recognizes a product item among each side displayed in the store image, and recognizes the product of the recognized product item. The characteristics are extracted from the product item detail information DB 214 for each store, Insert the extracted product item detail information into the product item details display window 536, but insert the product item video image among the product item details into the product item image display area 536a of the product item details display window 536,, the product item detail display window 536 inserted in the product item description area 536b of the product item detail detail display window 536 with the product description details including the product name and price among the product item details, the coordinate setting cube store image Set coordinates inserted in the area corresponding to the coordinates of the designated area included in the product tag addition request signal on the cube store image, product item details insertion processing coordinate setting The cube store image is processed and then transmitted, and the store manager terminal (100) of the store management app receives a cube store image set for insert processing coordinates of product item details from the augmented reality store management server 200, The transmitted product item details insertion processing coordinate setting cube store image is inserted into the information matching request screen 530 and output through the information output unit 120, and the product located in the designated area in the information matching window 533 When an item is selected, a product link addition request menu 533e for requesting that detailed product item information indicating product characteristics be output is provided, and the store management app of the store manager terminal 100 allows the store manager to request the product link addition After clicking the menu 533e, if any one is designated on the coordinate setting cube store image displayed in the image display area 531, the coordinates of the designated area indicating the coordinates of the designated area are generated, and the information matching request screen 530) to pop-up the link product item information input window 537 on the The file name of the link product item to be linked to the file name input area 537a of the pop-up output link product item information input window 537 and the product item link address input area 537b for inputting the link address of the linked product item, respectively and when the registration menu 537c is clicked while the product item link address is input, a product item link addition request signal including the file name and product item link address of the inputted linked product item and the coordinates of the designated area is generated and transmitted and, the augmented reality store management server 200 operates the store product matching engine 240 and the rendering engine 220 when a product item link addition request signal is transmitted from the store manager terminal 100, and the transmitted Recognizing the product item details of the linked product item in the product item detail information DB 214 for each store by referring to the file name and product item link address of the linked product item included in the product item link addition request signal, When selecting the area corresponding to the coordinates of the designated area included in the request signal for adding a product item link on the coordinate setting cube store image, a link button 538 for product item output that displays the product item details of the linked product item is inserted and processed After processing the coordinate setting cube store image for displaying the link product item, which is the coordinate setting cube store image, it is transmitted, and the store management app of the store manager terminal 100 is a link product item from the augmented reality store management server 200 Receive the coordinate setting cube store image for display, insert the coordinate setting cube store image for displaying the transmitted linked product item into the information matching request screen 530 and output it through the information output unit 120, and the information matching window In (533), a space connection setting requesting that the store manager connect and view the virtual space desired by the store manager among a plurality of virtual spaces, which are augmented reality store contents for confirming detailed information built on the basis of augmented reality for the appearance of the offline store operated by the store manager A request menu 533f is provided, When the store manager clicks the space connection setting request menu 533f, the store management app of the store manager terminal 100 generates and transmits a virtual space connection request signal for requesting the connection of the virtual space, and the augmented reality When the virtual space connection request signal is transmitted from the store manager terminal 100, the store management server 200 operates the store product matching engine 240 to refer to the transmitted virtual space connection request signal, and confirm details for each store In the augmented reality store content information DB 215 for the augmented reality store content information DB 215, the virtual space that requests the selection of a virtual space requesting combination among the virtual space creation details, which is a detail related to a plurality of virtual spaces, which is the augmented reality store content for confirming detailed information made by the store manager Transmits a space selection request signal, the store management app of the store manager terminal 100 receives a virtual space selection request signal from the augmented reality store management server 200, and is included in the transmitted virtual space selection request signal Outputs the virtual space creation details through the information output unit 120, When a virtual space requesting combination is selected among the output virtual space creation details, a virtual space selection signal including the selected promotional image information including the selected virtual space is generated and transmitted, and the augmented reality store management server (200) is When the virtual space selection signal is transmitted from the store manager terminal 100, the store product matching engine 240 and the rendering engine 220 are operated, and each virtual space included in the virtual space selection signal on the coordinate setting cube store image is displayed. Insert the virtual space movement request button 539a that requests to sequentially move to the screen, insert the selected virtual space as a thumbnail image, and select the virtual space thumbnail image so that it can be moved to the screen of the virtual space Coordinate setting inserted as a virtual space thumbnail image (539b) for a link that links a space connection processing coordinate setting cube store image After processing into a cube store image, The store management app of the store manager terminal 100 receives the spatial connection processing coordinate setting cube store image from the augmented reality store management server 200, and requests information matching for the transmitted spatial connection processing coordinate setting cube store image It is inserted into the screen 530 and output through the information output unit 120, and the augmented reality store content for checking detailed information is an immersive metaverse-based space management operating system, characterized in that it is produced in HTML5.
delete
delete
delete
delete
delete
delete
delete
delete
delete
The method of claim 1, further comprising a customer terminal (300), and the augmented reality store management server (200) further comprises a content operation engine (250), the content operation engine (250) is the detailed information An immersive metaverse-based space management operating system, characterized in that the augmented reality store content for confirmation is distributed to the customer terminal (300).
12. The method of claim 11, wherein the content operation engine 250 transmits, to the customer terminal 300, the store promotion information provided with a URL linking the augmented reality store content for confirming the detailed information so that it can be read. immersive metaverse-based space management operating system.
The method of claim 11, wherein the customer terminal (300) is equipped with an app for viewing a store that guides a virtual space that is augmented reality store content for detailed information confirmation, and the content operation engine (250) is the customer terminal (When the store browsing app of 300) connects to the augmented reality store management server 200, the main screen 610 on which a thumbnail image for displaying a virtual space indicating a thumbnail image of a virtual space that is an augmented reality store content for detailed information confirmation is displayed. The app for viewing the store of the customer terminal 300 receives the main screen 610 from the augmented reality store management server 200, and displays the virtual space displayed on the transmitted main screen 610. When a thumbnail image is selected, a virtual space reading request signal is transmitted to request viewing of the virtual space corresponding to the selected virtual space display thumbnail image, and the augmented reality store management server 200 is the store manager terminal 100 When a virtual space viewing request signal is transmitted from the By referring to the thumbnail image for displaying the virtual space included in the virtual space reading request signal, the augmented reality store content for checking the requested detailed information is extracted and transmitted from the augmented reality store content information DB 215 for detailed confirmation by store, The store management app of the store manager terminal 100 receives the augmented reality store contents for confirming detailed information from the augmented reality store management server 200, and the augmented reality store contents for confirming the transmitted details in the augmented reality store. An immersive metaverse-based space management operating system, characterized in that it is inserted into the screen 620 and output through the information output unit 320.
According to claim 13, wherein the store management app of the store manager terminal (100) is the augmented reality store content for detailed information confirmation on the augmented reality store screen (620) Display of product item details of a product item provided in a virtual space When the link button 621 for outputting a product item that requests and transmit, and the augmented reality store management server 200 operates the store product matching engine 240 and the rendering engine 220 when the product detail information output request signal is transmitted from the store manager terminal 100 and transmits the transmission. Based on the coordinates of the designated area included in the specified product detail information output request signal, the product item detailed information of the corresponding product item is extracted from the product item detailed information DB 214 for each store, and the extracted product item detailed information is used as the product item detail But inserted into the history display window (624), Inserting the product item video image among the product item details into the product item image display area 624a of the product item detail information display window 624, and inserting the product description details including the product name and price among the product item details in the product item details Transmits the product item detail display window 624 inserted into the product item description area 624b of the display window 624, and the store management app of the store manager terminal 100 is from the augmented reality store management server 200 Realistic type, characterized in that receiving the product item detail display window 624, inserting the transmitted product item detail display window 624 into the augmented reality store screen 620 and outputting it through the information output unit 320 Metaverse-based space management operating system.</t>
  </si>
  <si>
    <t>Kim, Ki Dong</t>
  </si>
  <si>
    <t>G06Q05010000 | G06F00304820 | G06F00304842 | G06Q03008000 | G06T01340000 | G06T01900000 | G06T01920000</t>
  </si>
  <si>
    <t>KR102446974B1</t>
  </si>
  <si>
    <t>KR102446974 B1</t>
  </si>
  <si>
    <t>I-000230624218</t>
  </si>
  <si>
    <t>20 years from 2022-03-29 (file date)</t>
  </si>
  <si>
    <t>https://patentscout.innography.com/share/u3jVgA5wfetLE0GrMJ-v9g%3D%3D</t>
  </si>
  <si>
    <t>https://patentscout.innography.com/share/u3jVgA5wfetLE0GrMJ-v9g%3D%3D/download</t>
  </si>
  <si>
    <t>https://v3.espacenet.com/publicationDetails/biblio?CC=KR&amp;NR=102446974B1&amp;KC=B1&amp;FT=D&amp;date=20220923&amp;DB=EPODOC&amp;locale=</t>
  </si>
  <si>
    <t>KR20102446974 B1</t>
  </si>
  <si>
    <t>1.  A store manager terminal 100 equipped with an app for store management that transmits a store creation request signal that requests to be able to view an offline store operated by the store manager based on augmented reality; With reference to the store creation request signal transmitted from the store manager terminal 100 , the store shooting video image, which is an image captured by a 360 -degree camera of the offline store, is displayed on the ceiling surface, floor surface, front side, rear side, and left side. and a rendering engine 220 for generating a cube store image by dividing it into a right side, and setting two-dimensional coordinates on the ceiling surface, floor surface, front side, rear side, left side, and right side, respectively, constituting the cube store image and the augmented reality store management server 200 consisting of a coordinate setting engine 230 that processes the coordinate setting cube store image and transmits the processed coordinate setting cube store image; After logging in through the login screen 510 , the store management app is a store list screen 520 in which a virtual space, which is an augmented reality store content for detailed information confirmation built on the basis of augmented reality, is displayed as a list of offline stores operated by the store manager.) is output through the information output unit 120 , When the store creation menu 522 provided on the output store list screen 520 is clicked, a store creation request signal is transmitted, and the augmented reality store management server 200 requests a store creation from the store manager terminal 100.  When the signal is transmitted, the rendering engine 220 is operated to extract the store-photographed image image of the store manager from the store-specific photographed image information DB 212 with reference to the transmitted store creation request signal, and the extracted corresponding Transmitting a store image selection request signal for requesting selection of a store filmed video image to create a virtual space from among the store filmed image images owned by the store manager, the store manager The store management app of the terminal 100 receives the store image selection request signal from the augmented reality store management server 200 , and outputs the store shooting video image included in the transmitted store image selection request signal to the information output unit 120 output through and when any one of the store shooting image images is selected from the outputted store shooting image image, Generates and transmits a store image selection signal including the selected store photographed image image, and the rendering engine 220 of the augmented reality store management server 200 refers to the store creation request signal transmitted from the store manager terminal 100.  Thus, the selected store-photographed image image is divided into a ceiling surface, a floor surface, a front side, a rear side, a left side and a right side, and renders it to generate a cube store image, and the augmented reality store management server 200 sets the coordinates By operating the engine 230 , two-dimensional coordinates are set respectively on the ceiling surface, floor surface, front side, rear side, left side and right side that make up the cube store image, and after processing it into a coordinate setting cube store image, it is transmitted, The store management app of the store manager terminal 100 receives the coordinate setting cube store image from the augmented reality store management server 200 , and inserts the transmitted coordinate setting cube store image into the information matching request screen 530 to control to be output through the information output unit 120 , The information matching request screen 530 includes an image display area 531 in which a coordinate setting cube store image is displayed, an information matching menu 532 for requesting information matching on a coordinate setting cube store image, and the information matching menu 532 It is a pop-up output when clicking and it includes an information matching window 533 that displays matching information names as a list on the coordinate setting cube store image, and the information matching window 533 requests mosaic processing around the selected area. A blur addition request menu 533a is provided, and the augmented reality store management server 200 recognizes a product item among each side displayed in the coordinate setting cube store image, and indicates the product characteristic of the recognized product item. The store product matching engine 240 for processing the item details into augmented reality store contents for confirming detailed information by matching the detailed information; further comprising, The store management app of the store manager terminal 100 selects any one place on the coordinate setting cube store image displayed in the image display area 531 after the store manager clicks the blur addition request menu 533a, Generates and transmits a blur request signal including the coordinates of the selected area indicating the coordinates of the selected area, and the augmented reality store management server 200 receives the blur request signal from the store manager terminal 100 , matching store products By operating the engine 240 and the rendering engine 220 , the area corresponding to the coordinates of the selected area included in the blur request signal on the coordinate setting cube store image is blurred to the blur processing area 533a1.  After processing the blur processing coordinate setting cube store image, it is transmitted, and the store management app of the store manager terminal 100 receives the blur processing coordinate setting cube store image from the augmented reality store management server 200 , The transmitted blur processing coordinate setting cube store image is inserted into the information matching request screen 530 and outputted through the information output unit 120 , and the information matching window 533 requests that the promotional image be always output in a designated area. An image area addition request menu 533b is provided, and the augmented reality store management server 200 recognizes a product item among each side displayed in the coordinate setting cube store image, and displays the product characteristics of the recognized product item. The store product matching engine 240 for matching the product item detailed information indicated and processing it into augmented reality store content for detailed information confirmation; further comprising, the store management app of the store manager terminal 100 allows the store manager to use the image After clicking the area addition request menu 533b, if any one is designated on the coordinate setting cube store image displayed in the image display area 531 , the image area addition request including the coordinates of the designated area indicating the coordinates of the designated area to generate and transmit a signal, The augmented reality store management server 200 operates the store product matching engine 240 when a video area addition request signal is transmitted from the store manager terminal 100 and refers to the transmitted video area addition request signal for each store. The promotional image information of the store manager is extracted from the promotional image information DB 213 , and the extracted promotional image information of the store manager is included. Transmitting a promotional image selection request signal for requesting selection, the store management app of the store manager terminal 100 receives a promotional image selection request signal from the augmented reality store management server 200 , and the transmitted promotional image The promotional image information included in the selection request signal is inserted into the promotional image selection request screen 540 and output through the information output unit 120 , and displayed in the promotional image display area 541 of the promotional image selection request screen 540.  If any one of the promotional video information is selected, Generates and transmits a promotional image selection signal including the selected promotional image information, and the augmented reality store management server 200 receives a promotional image selection signal from the store manager terminal 100 , the store product matching engine 240 ) and the rendering engine 220 to insert the selected promotional image into the area corresponding to the specified area coordinates included in the video area addition request signal on the coordinate setting cube store image. After processing the coordinate setting cube store image and transmitting it, the store management app of the store manager terminal 100 receives the promotional image insertion processing coordinate setting cube store image from the augmented reality store management server 200 , and the transmission Coordinate setting of the advertisement image insertion processing coordinate setting The cube store image is inserted into the information matching request screen 530 and outputted through the information output unit 120 , and a promotional image is output when a designated area is selected in the information matching window 533.  The requested video link addition request menu (533c) is provided, In the store management app of the store manager terminal 100 , when the store manager clicks the video link addition request menu 533c, and specifies any one place on the coordinate setting cube store image displayed in the image display area 531 ,, to generate the coordinates of the designated area indicating the coordinates of the designated area, pop-up the link image information input window 534 on the information matching request screen 530 , and output the pop-up link image information input window 534 of the In a state where the file name and image link address of the link promotion image to be linked are inputted to the file name input area 534a and the image link address input area 534b for inputting the link address of the link promotion image, respectively, the registration menu 534c is displayed. When clicked, it generates and transmits an image link addition request signal including the file name and image link address of the input link promotion image and the coordinates of the designated area, and the augmented reality store management server 200 is the store manager terminal 100 ), when a video link addition request signal is transmitted, the store product matching engine 240 and the rendering engine 220 are operated, By referring to the file name and video link address of the link promotional image included in the transmitted image link addition request signal, the promotional image information of the store manager is recognized in the store-specific promotional image information DB 213 , and the coordinate setting cube store image Link promotional image file name display area 535a in which the file name of the promotional image linked to the area corresponding to the coordinates of the designated area included in the video link addition request signal is displayed on the link promotion image file name display area 535a After processing into a coordinate setting cube store image for displaying a link promotional image, which is a coordinate setting cube store image, which is a coordinate setting cube store image in which a promotional image link window 535 including a link button 535b is inserted, it is transmitted, and the store manager terminal 100 of the store management app receives the coordinate setting cube store image for displaying the link promotional image from the augmented reality store management server 200 , and the information matching request screen 530 for the coordinate setting cube store image for displaying the transmitted link promotional image) and output through the information output unit 120 , The information matching window 533 is provided with a product tag addition request menu 533d for requesting that detailed product item information indicating product characteristics of a product item located in a designated area is always output, and the store manager terminal 100 In the store management app, when the store manager clicks the product tag addition request menu 533d and then designates any one place on the coordinate setting cube store image displayed in the image display area 531 , it indicates the coordinates of the designated area. Generates and transmits a product tag addition request signal including the coordinates of a designated area, and the augmented reality store management server 200 receives a product tag addition request signal from the store manager terminal 100 , the store product matching engine 240 Based on the coordinates of the designated area included in the transmitted product tag addition request signal by operating the and rendering engine 220 , the coordinate setting cube recognizes a product item among each side displayed in the store image, and recognizes the product of the recognized product item. The characteristics are extracted from the product item detail information DB 214 for each store, Insert the extracted product item detail information into the product item details display window 536 , but insert the product item video image among the product item details into the product item image display area 536a of the product item details display window 536 ,, the product item detail display window 536 inserted in the product item description area 536b of the product item detail detail display window 536 with the product description details including the product name and price among the product item details, the coordinate setting cube store image Set coordinates inserted in the area corresponding to the coordinates of the designated area included in the product tag addition request signal on the cube store image, product item details insertion processing coordinate setting The cube store image is processed and then transmitted, and the store manager terminal (100 ) of the store management app receives a cube store image set for insert processing coordinates of product item details from the augmented reality store management server 200 , The transmitted product item details insertion processing coordinate setting cube store image is inserted into the information matching request screen 530 and output through the information output unit 120 , and the product located in the designated area in the information matching window 533 When an item is selected, a product link addition request menu 533e for requesting that detailed product item information indicating product characteristics be output is provided, and the store management app of the store manager terminal 100 allows the store manager to request the product link addition After clicking the menu 533e, if any one is designated on the coordinate setting cube store image displayed in the image display area 531 , the coordinates of the designated area indicating the coordinates of the designated area are generated, and the information matching request screen 530 ) to pop-up the link product item information input window 537 on the The file name of the link product item to be linked to the file name input area 537a of the pop-up output link product item information input window 537 and the product item link address input area 537b for inputting the link address of the linked product item, respectively and when the registration menu 537c is clicked while the product item link address is input, a product item link addition request signal including the file name and product item link address of the inputted linked product item and the coordinates of the designated area is generated and transmitted and, the augmented reality store management server 200 operates the store product matching engine 240 and the rendering engine 220 when a product item link addition request signal is transmitted from the store manager terminal 100 , and the transmitted Recognizing the product item details of the linked product item in the product item detail information DB 214 for each store by referring to the file name and product item link address of the linked product item included in the product item link addition request signal, When selecting the area corresponding to the coordinates of the designated area included in the request signal for adding a product item link on the coordinate setting cube store image, a link button 538 for product item output that displays the product item details of the linked product item is inserted and processed After processing the coordinate setting cube store image for displaying the link product item, which is the coordinate setting cube store image, it is transmitted, and the store management app of the store manager terminal 100 is a link product item from the augmented reality store management server 200 Receive the coordinate setting cube store image for display, insert the coordinate setting cube store image for displaying the transmitted linked product item into the information matching request screen 530 and output it through the information output unit 120 , and the information matching window In (533 ), a space connection setting requesting that the store manager connect and view the virtual space desired by the store manager among a plurality of virtual spaces, which are augmented reality store contents for confirming detailed information built on the basis of augmented reality for the appearance of the offline store operated by the store manager A request menu 533f is provided, When the store manager clicks the space connection setting request menu 533f, the store management app of the store manager terminal 100 generates and transmits a virtual space connection request signal for requesting the connection of the virtual space, and the augmented reality When the virtual space connection request signal is transmitted from the store manager terminal 100 , the store management server 200 operates the store product matching engine 240 to refer to the transmitted virtual space connection request signal, and confirm details for each store In the augmented reality store content information DB 215 for the augmented reality store content information DB 215 , the virtual space that requests the selection of a virtual space requesting combination among the virtual space creation details, which is a detail related to a plurality of virtual spaces, which is the augmented reality store content for confirming detailed information made by the store manager Transmits a space selection request signal, the store management app of the store manager terminal 100 receives a virtual space selection request signal from the augmented reality store management server 200 , and is included in the transmitted virtual space selection request signal Outputs the virtual space creation details through the information output unit 120 , When a virtual space requesting combination is selected among the output virtual space creation details, a virtual space selection signal including the selected promotional image information including the selected virtual space is generated and transmitted, and the augmented reality store management server (200 ) is When the virtual space selection signal is transmitted from the store manager terminal 100 , the store product matching engine 240 and the rendering engine 220 are operated, and each virtual space included in the virtual space selection signal on the coordinate setting cube store image is displayed. Insert the virtual space movement request button 539a that requests to sequentially move to the screen, insert the selected virtual space as a thumbnail image, and select the virtual space thumbnail image so that it can be moved to the screen of the virtual space Coordinate setting inserted as a virtual space thumbnail image (539b) for a link that links a space connection processing coordinate setting cube store image After processing into a cube store image, The store management app of the store manager terminal 100 receives the spatial connection processing coordinate setting cube store image from the augmented reality store management server 200 , and requests information matching for the transmitted spatial connection processing coordinate setting cube store image It is inserted into the screen 530 and output through the information output unit 120 , and the augmented reality store content for checking detailed information is an immersive metaverse-based space management operating system, characterized in that it is produced in HTML5.</t>
  </si>
  <si>
    <t>2022-06-18</t>
  </si>
  <si>
    <t>2042-06-18</t>
  </si>
  <si>
    <t>This invention relates to a smart book that provides access to different platforms with video audio in different languages and metaverse and/or VR system environment when read by any device with a Qr reader (mobile phone tablet etc.) thanks to the Qr code it contains.</t>
  </si>
  <si>
    <t>Smart book</t>
  </si>
  <si>
    <t>Setyay Yayincilik Kİtap Matbaacilik BİlİŞİm Sanayİ Ve Tİcaret Lİmİted Şİrketİ</t>
  </si>
  <si>
    <t>SETYAY YAYINCILIK KİTAP MATBAACILIK BİLİŞİM SANAYİ VE TİCARET LİMİTED ŞİRKETİ</t>
  </si>
  <si>
    <t>TR2022010198U</t>
  </si>
  <si>
    <t>REQUESTSone.This invention is a smart book and its feature is; The book contains a Qr code that allows access to different platforms in the metaverse and/or VR system environment, with video, audio in different languages, and the book when read with any device with a QR reader (mobile phone, tablet, etc.).</t>
  </si>
  <si>
    <t>REQUESTSone.
This invention is a smart book and its feature is; The book contains a Qr code that allows access to different platforms in the metaverse and/or VR system environment, with video, audio in different languages, and the book when read with any device with a QR reader (mobile phone, tablet, etc.).
2.
It is the smart book mentioned in Claim 1 and its feature is; It has a metaverse and/or VR system login that can be accessed with a user name and password via virtual reality glasses or a screen when the Qr on it is read.
3.
It is the smart book mentioned in Claim 1 and its feature is;
In the metaverse and/or VR system login section, which can be accessed with a user name and password via virtual reality glasses or a screen when the Qr on it is read, users can see the modeled and realistic versions of the authors in front of them, witness their lives, and also see the voiced versions of various paintings with artificial intelligence in the art museum. they can witness up close,
It includes a link to the "Smart Book Building", "Painting Museum" and "metaverse and/or vr system Cultural Center" platforms where they can attend various programs and trainings at the metaverse and/or vr system Cultural Center.</t>
  </si>
  <si>
    <t>U5</t>
  </si>
  <si>
    <t>Mehmet, Al Severcan Gaygusuz</t>
  </si>
  <si>
    <t>TR</t>
  </si>
  <si>
    <t>G06F0003048300</t>
  </si>
  <si>
    <t>G06F00304830</t>
  </si>
  <si>
    <t>TR2022010198U5</t>
  </si>
  <si>
    <t>$8350</t>
  </si>
  <si>
    <t>TR2022010198 U5</t>
  </si>
  <si>
    <t>I-000232490734</t>
  </si>
  <si>
    <t>20 years from 2022-06-18 (file date)</t>
  </si>
  <si>
    <t>https://patentscout.innography.com/share/5ch2rc4LBTYtcMzweQgrZA%3D%3D</t>
  </si>
  <si>
    <t>https://patentscout.innography.com/share/5ch2rc4LBTYtcMzweQgrZA%3D%3D/download</t>
  </si>
  <si>
    <t>https://v3.espacenet.com/publicationDetails/biblio?CC=TR&amp;NR=2022010198U5&amp;KC=U5&amp;FT=D&amp;date=20220721&amp;DB=EPODOC&amp;locale=</t>
  </si>
  <si>
    <t>TR Applications</t>
  </si>
  <si>
    <t>1.  REQUESTSone.
This invention is a smart book and its feature is; The book contains a Qr code that allows access to different platforms in the metaverse and/or VR system environment, with video, audio in different languages, and the book when read with any device with a QR reader (mobile phone, tablet, etc.).</t>
  </si>
  <si>
    <t>The present invention relates to a metaverse application and more particularly to a metaverse application. An avatar window provided to select a user avatar of the application execution screen and the application execution screen an avatar creation window provided to select according to a user&amp;#39;s taste of the application execution screen and a market selection screen and a user of the market selection screen A market search window provided to select a desired market a market tour screen a market screen provided to select a local market of the market tour screen of the market tour screen a product selection screen and various shops of the product selection screen Shop screen provided to view their products shopping cart provided to hold items on the item selection screen Same-day order and same-day delivery screen A screen provided for purchase directly from the same-day order and same-day delivery screen Received delivery from home By composing a delivery inquiry screen that is provided to obtain delivery-related information on delivery at home the purpose is for young people to have fun in the market and for merchants to feel the pleasure of profits.</t>
  </si>
  <si>
    <t>Metabus application</t>
  </si>
  <si>
    <t>selection screen|window provided|tour</t>
  </si>
  <si>
    <t>I, Hyeong Bin</t>
  </si>
  <si>
    <t>KR20210172317A</t>
  </si>
  <si>
    <t>` The present invention relates to a metaverse application, and more particularly, to a metaverse application.An avatar window provided to select a user avatar of the application execution screen and the application execution screen, an avatar creation window provided to select according to a user's taste of the application execution screen, and a market selection screen and a user of the market selection screen A market search window provided to select a desired market, a market tour screen, a market screen provided to select a local market of the market tour screen of the market tour screen, a product selection screen, and various shops of the product selection screen Shop screen provided to view their products, shopping cart provided to hold items on the item selection screen Same-day order and same-day delivery screen A screen provided for purchase directly from the same-day order and same-day delivery screen Received delivery from home By composing a delivery inquiry screen that is provided to obtain delivery-related information of receiving delivery at home, it is a metaverse application that young people have fun in the market and merchants also feel the pleasure of profits.</t>
  </si>
  <si>
    <t>` The present invention relates to a metaverse application, and more particularly, to a metaverse application.
An avatar window provided to select a user avatar of the application execution screen and the application execution screen, an avatar creation window provided to select according to a user's taste of the application execution screen, and a market selection screen and a user of the market selection screen A market search window provided to select a desired market, a market tour screen, a market screen provided to select a local market of the market tour screen of the market tour screen, a product selection screen, and various shops of the product selection screen Shop screen provided to view their products, shopping cart provided to hold items on the item selection screen Same-day order and same-day delivery screen A screen provided for purchase directly from the same-day order and same-day delivery screen Received delivery from home By composing a delivery inquiry screen that is provided to obtain delivery-related information of receiving delivery at home, it is a metaverse application that young people have fun in the market and merchants also feel the pleasure of profits.</t>
  </si>
  <si>
    <t>G06Q0030064100 | G06Q0050280000 | G06T0013400000 | G06T0019003000</t>
  </si>
  <si>
    <t>G06Q03006000 | G06Q05028000 | G06T01340000 | G06T01900000</t>
  </si>
  <si>
    <t>KR20210154913A</t>
  </si>
  <si>
    <t>KR20210154913 A</t>
  </si>
  <si>
    <t>I-000219853690</t>
  </si>
  <si>
    <t>https://patentscout.innography.com/share/id8g1C-ZMQkJI2yUv8Jrww%3D%3D</t>
  </si>
  <si>
    <t>https://patentscout.innography.com/share/id8g1C-ZMQkJI2yUv8Jrww%3D%3D/download</t>
  </si>
  <si>
    <t>https://v3.espacenet.com/publicationDetails/biblio?CC=KR&amp;NR=20210154913A&amp;KC=A&amp;FT=D&amp;date=20211221&amp;DB=EPODOC&amp;locale=</t>
  </si>
  <si>
    <t>1.  ` The present invention relates to a metaverse application, and more particularly, to a metaverse application.
An avatar window provided to select a user avatar of the application execution screen and the application execution screen, an avatar creation window provided to select according to a user's taste of the application execution screen, and a market selection screen and a user of the market selection screen A market search window provided to select a desired market, a market tour screen, a market screen provided to select a local market of the market tour screen of the market tour screen, a product selection screen, and various shops of the product selection screen Shop screen provided to view their products, shopping cart provided to hold items on the item selection screen Same-day order and same-day delivery screen A screen provided for purchase directly from the same-day order and same-day delivery screen Received delivery from home By composing a delivery inquiry screen that is provided to obtain delivery-related information of receiving delivery at home, it is a metaverse application that young people have fun in the market and merchants also feel the pleasure of profits.</t>
  </si>
  <si>
    <t>2015-08-02</t>
  </si>
  <si>
    <t>2022-07-05</t>
  </si>
  <si>
    <t>2036-08-02</t>
  </si>
  <si>
    <t>2017-02-02</t>
  </si>
  <si>
    <t>For tracking a target multiple smart devices are self-organized into an ad hoc network once a target is detected. A typical target is a motor vehicle or other moving objects. To add a device to the ad hoc network a device within the system reaches out to a device that is not in the ad hoc network and solicits the latter for images and data gathered in the past as well as for future gathering of images and data. The usefulness of a device to the ad hoc network in view of target tracking is calculated so that devices are added to or removed from the ad hoc network. The network might track multiple targets. In addition to detecting and tracking targets in real world scenes targets in video games or in virtual worlds or in the Metaverse are also contemplated.</t>
  </si>
  <si>
    <t>Target tracking of motor vehicles or other moving objects by forming an ad hoc network of devices</t>
  </si>
  <si>
    <t>target tracking|moving object|ad hoc network|ad hoc|world scene|device B</t>
  </si>
  <si>
    <t>Cfkk, LLC</t>
  </si>
  <si>
    <t>CFKK, LLC</t>
  </si>
  <si>
    <t>US17/857644</t>
  </si>
  <si>
    <t xml:space="preserve">A method of target tracking, comprising:
forming an ad hoc network of smart Devices by detecting, by a Device A, a target, at a first moment in time t_1, the detecting being partly accomplished by analyzing a first data set collected by Device A; Device A becoming the first member of the network;
expanding the network, at a second moment in time t_2, by Device A soliciting Device B in that Device B is asked to preserve a second data set gathered M_B seconds (where M_B&gt;=0) before t_2;
further expanding the network, at a third moment in time t_3, by Device B soliciting Device C in that Device C is asked to preserve a third data set gathered M_C seconds (where M_C&gt;=0) before t_3; and wherein Devices A, B, and C form an ad hoc network.
</t>
  </si>
  <si>
    <t>1. A method of target tracking, comprising:
forming an ad hoc network of smart Devices by detecting, by a Device A, a target, at a first moment in time t_1, the detecting being partly accomplished by analyzing a first data set collected by Device A; Device A becoming the first member of the network;
expanding the network, at a second moment in time t_2, by Device A soliciting Device B in that Device B is asked to preserve a second data set gathered M_B seconds (where M_B&gt;=0) before t_2;
further expanding the network, at a third moment in time t_3, by Device B soliciting Device C in that Device C is asked to preserve a third data set gathered M_C seconds (where M_C&gt;=0) before t_3; and wherein Devices A, B, and C form an ad hoc network.
2. The method of claim 1, further comprising, Device A at t_2′ (t_2′ is later than t_2) soliciting Device B in that Device B is asked to gather a fourth data set starting t_2′ for N_B seconds (where N_B&gt;=0), and Device B at t_3′ (t_3′ is later than t_3) soliciting Device C in that Device C is asked to gather a fifth data set starting t_3 for N_C seconds where N_C&gt;=0.
3. The method of claim 2, furthering comprising the ad hoc network detecting an additional target and tracking it.
4. The method of claim 3, furthering comprising, the first target being detected by Device A, and the second target being detected by a Device other than Device A.
5. The method of claim 2, further comprising, M_B and N_B being dependent.
6. The method of claim 1, further comprising, processing yielding metadata of the data, including but not limited to locating and registering the data relative to a Device, measuring significant characteristics of the data, a series of [x, y, z, t] where x, y, z is the three dimensional positions and t is time.
7. The method of claim 1, further comprising, processing of data including but not limited to enhancing quality of the data.
8. The method of claim 1, where the Devices are mobile.
9. The method of claim 1, further comprising, during the step of soliciting Device A considering the usefulness of Device B and the usefulness of a Device B′, and deciding not to solicit Device B′ partly because Device B′ has a low usefulness score to the ad hoc network.
10. The method of claim 9, further comprising, the usefulness of a Device to the ad hoc network is partly dependent on the relevance of the Device's data to the target.
11. The method of claim 1, furthering comprising, a Device being removed from the ad hoc network after the Device has a low usefulness score to the ad hoc network.
12. The method of claim 1, wherein the data analyzed and processed are data that are representative of a real scene, including obtained data of vehicles, people, places, things, drones, moving objects, or others.
13. The method of claim 1, wherein the data are representative of a scene in a virtual world, in an augmented realty world, in a video game, in a Metaverse, or others.</t>
  </si>
  <si>
    <t>Kleinrock, Leonard|Cao, Yu</t>
  </si>
  <si>
    <t>H04N0005770000</t>
  </si>
  <si>
    <t>H04N0005770000 | H04N0005232060 | H04L0067010000 | H04L0067120000 | H04N0005232160 | H04N0005232380 | H04N0007181000 | H04N0005232030 | H04N0005232220 | H04N2005225500 | H04N0005760000 | H04N0009820500</t>
  </si>
  <si>
    <t>H04N00577000</t>
  </si>
  <si>
    <t>H04N00577000 | H04L06701000 | H04L06712000 | H04N00523200 | H04N00718000 | H04N00982000</t>
  </si>
  <si>
    <t>US20220353455A1</t>
  </si>
  <si>
    <t>US20200374483 A1 | US20220353455 A1 | US20170034470 A1</t>
  </si>
  <si>
    <t>I-000231564193</t>
  </si>
  <si>
    <t>20 years from 2016-08-02 (file date of patent US20170034470)</t>
  </si>
  <si>
    <t>https://patentscout.innography.com/share/H-Pi9OOv_Pk5Yn_u8Xo8IA%3D%3D</t>
  </si>
  <si>
    <t>2016-08-02-ASSIGNMENT (CFKK, LLC)|2022-07-22-INFORMATION ON STATUS: PATENT APPLICATION AND GRANTING PROCEDURE IN GENERAL</t>
  </si>
  <si>
    <t>https://patentscout.innography.com/share/H-Pi9OOv_Pk5Yn_u8Xo8IA%3D%3D/download</t>
  </si>
  <si>
    <t>https://ppubs.uspto.gov/pubwebapp/external.html?q=20220353455.pn.</t>
  </si>
  <si>
    <t>US20220353455 A1</t>
  </si>
  <si>
    <t>US20170034470 A1</t>
  </si>
  <si>
    <t>1. A method of target tracking, comprising:
forming an ad hoc network of smart Devices by detecting, by a Device A, a target, at a first moment in time t_1, the detecting being partly accomplished by analyzing a first data set collected by Device A; Device A becoming the first member of the network;
expanding the network, at a second moment in time t_2, by Device A soliciting Device B in that Device B is asked to preserve a second data set gathered M_B seconds (where M_B&gt;=0) before t_2;
further expanding the network, at a third moment in time t_3, by Device B soliciting Device C in that Device C is asked to preserve a third data set gathered M_C seconds (where M_C&gt;=0) before t_3; and wherein Devices A, B, and C form an ad hoc network.</t>
  </si>
  <si>
    <t>JP2020013530 A | KR102099022 B1 | KR102237447 B1 | KR102280058 B1 | KR20200010787 A</t>
  </si>
  <si>
    <t>It provides an operating method of a platform that provides an open market for companion animals that can curate products and services according to the companion animals raised by users while providing funeral services for companion animals based on metaverse technology. The operating method of a platform that provides an open market for companion animals includes: transmitting by a user terminal data on a first companion animal to a main server; providing by the main server a list of products and services related to the first companion animal by processing data on the first companion animal to the user terminal; transmitting by the user terminal a selection result to the main server by selecting a specific product and service from the list of products and services; and storing by the main server data on products and services selected by the user terminal in a database.</t>
  </si>
  <si>
    <t>Method of providing companion animal angel book ashes platform business model that permanently preserves sense of remembrance and honor of companion animals by watching history of companion animals in video</t>
  </si>
  <si>
    <t>Design Jookwon Co., Ltd.</t>
  </si>
  <si>
    <t>DESIGN JOOKWON CO., LTD.</t>
  </si>
  <si>
    <t>KR20210116038A</t>
  </si>
  <si>
    <t>transmitting, by the user terminal, data about the first companion animal to the main server;providing, by the main server, a list of products and services related to the first companion animal by processing data on the first companion animal to the user terminal;transmitting, by the user terminal, a selection result to the main server by selecting a specific product and service from a list of products and services related to the first companion animal;storing, by the main server, data on products and services related to the first companion animal selected by the user terminal in a database;transmitting, by the user terminal, a signal to the main server requesting a funeral for the death of the first companion animal;providing, by the main server, a web link to the user terminal to access virtual reality made of metaverse technology in which the funeral of the first companion animal is performed;determining, by the main server, whether data on the second companion animal exists at a time point after the first companion animal's funeral is performed by accessing the user terminal;And when the main server determines that data on the second companion animal exists in the user terminal, the user terminal selects the data about the first companion animal and the data on the second companion animal and the user terminal and processing data on products and services related to the first companion animal to provide a list of products and services related to the second companion animal, wherein the data on the first companion animal includes the species, age, Including gender and image data, the main server receives the companion animal image data at the time point after the funeral is performed in the user terminal, compares the image with the image data of the first companion animal for similarity, and if different, the user Determining that you are raising a second companion animal, extracting data on the species, age, and gender of the second companion animal based on the image data of the second companion animal, or requesting data for a new second companion animal from the user terminal and receiving data on the species, age, and gender of the second companion animal from the user terminal,The same category is extracted by comparing the data on the first companion animal with the data on the second companion animal, and products and services mapped to the same category are provided among the products and services related to the first companion selected by the user terminal. 2 A method of operating a platform for providing an open market for companion animals, characterized in that the list of products and services related to companion animals is provided to the user terminal.</t>
  </si>
  <si>
    <t>transmitting, by the user terminal, data about the first companion animal to the main server;providing, by the main server, a list of products and services related to the first companion animal by processing data on the first companion animal to the user terminal;transmitting, by the user terminal, a selection result to the main server by selecting a specific product and service from a list of products and services related to the first companion animal;storing, by the main server, data on products and services related to the first companion animal selected by the user terminal in a database;transmitting, by the user terminal, a signal to the main server requesting a funeral for the death of the first companion animal;providing, by the main server, a web link to the user terminal to access virtual reality made of metaverse technology in which the funeral of the first companion animal is performed;determining, by the main server, whether data on the second companion animal exists at a time point after the first companion animal's funeral is performed by accessing the user terminal;
And when the main server determines that data on the second companion animal exists in the user terminal, the user terminal selects the data about the first companion animal and the data on the second companion animal and the user terminal and processing data on products and services related to the first companion animal to provide a list of products and services related to the second companion animal, wherein the data on the first companion animal includes the species, age, Including gender and image data, the main server receives the companion animal image data at the time point after the funeral is performed in the user terminal, compares the image with the image data of the first companion animal for similarity, and if different, the user Determining that you are raising a second companion animal, extracting data on the species, age, and gender of the second companion animal based on the image data of the second companion animal, or requesting data for a new second companion animal from the user terminal and receiving data on the species, age, and gender of the second companion animal from the user terminal,
The same category is extracted by comparing the data on the first companion animal with the data on the second companion animal, and products and services mapped to the same category are provided among the products and services related to the first companion selected by the user terminal. 2 A method of operating a platform for providing an open market for companion animals, characterized in that the list of products and services related to companion animals is provided to the user terminal.
The method of claim 1, wherein the step of providing, by the main server to the user terminal, a web link for access to virtual reality made of metaverse technology in which the funeral of the first companion animal is performed, comprises: from the main server to the first companion animal. A virtual reality funeral service for the first companion animal provided on the web or app page using metaverse technology based on the data for companion animals, characterized in that it transmits an accessible web address to the user terminal. How to operate a platform that provides an open market.
delete
delete
delete</t>
  </si>
  <si>
    <t>Kim, Han Kyul</t>
  </si>
  <si>
    <t>G06Q03006000 | G06Q05010000</t>
  </si>
  <si>
    <t>KR102396956B1</t>
  </si>
  <si>
    <t>KR102396956 B1</t>
  </si>
  <si>
    <t>I-000225377257</t>
  </si>
  <si>
    <t>https://patentscout.innography.com/share/0iv9ltWqTIL59ZO2nUScvQ%3D%3D</t>
  </si>
  <si>
    <t>2022-05-06-DECISION TO GRANT OR REGISTRATION OF PATENT RIGHT|2022-05-09-WRITTEN DECISION TO GRANT</t>
  </si>
  <si>
    <t>https://patentscout.innography.com/share/0iv9ltWqTIL59ZO2nUScvQ%3D%3D/download</t>
  </si>
  <si>
    <t>https://v3.espacenet.com/publicationDetails/biblio?CC=KR&amp;NR=102396956B1&amp;KC=B1&amp;FT=D&amp;date=20220512&amp;DB=EPODOC&amp;locale=</t>
  </si>
  <si>
    <t>KR20102396956 B1</t>
  </si>
  <si>
    <t>1.  transmitting, by the user terminal, data about the first companion animal to the main server;providing, by the main server, a list of products and services related to the first companion animal by processing data on the first companion animal to the user terminal;transmitting, by the user terminal, a selection result to the main server by selecting a specific product and service from a list of products and services related to the first companion animal;storing, by the main server, data on products and services related to the first companion animal selected by the user terminal in a database;transmitting, by the user terminal, a signal to the main server requesting a funeral for the death of the first companion animal;providing, by the main server, a web link to the user terminal to access virtual reality made of metaverse technology in which the funeral of the first companion animal is performed;determining, by the main server, whether data on the second companion animal exists at a time point after the first companion animal's funeral is performed by accessing the user terminal;
And when the main server determines that data on the second companion animal exists in the user terminal, the user terminal selects the data about the first companion animal and the data on the second companion animal and the user terminal and processing data on products and services related to the first companion animal to provide a list of products and services related to the second companion animal, wherein the data on the first companion animal includes the species, age, Including gender and image data, the main server receives the companion animal image data at the time point after the funeral is performed in the user terminal, compares the image with the image data of the first companion animal for similarity, and if different, the user Determining that you are raising a second companion animal, extracting data on the species, age, and gender of the second companion animal based on the image data of the second companion animal, or requesting data for a new second companion animal from the user terminal and receiving data on the species, age, and gender of the second companion animal from the user terminal,
The same category is extracted by comparing the data on the first companion animal with the data on the second companion animal, and products and services mapped to the same category are provided among the products and services related to the first companion selected by the user terminal. 2 A method of operating a platform for providing an open market for companion animals, characterized in that the list of products and services related to companion animals is provided to the user terminal.</t>
  </si>
  <si>
    <t>US20180159756 A1 | US20220036302 A1</t>
  </si>
  <si>
    <t>2020-11-24</t>
  </si>
  <si>
    <t>Provided is a digital twin disaster management system customized to keep safety for urban underground tunnels including: a sensor sub-system configured to detect environmental information status information and image information in the urban underground tunnels; a digital twin model management sub-system configured to create and update a virtual space corresponding to the urban underground tunnels using information provided from the sensor sub-system and 3D space insert various types of attributes into the virtual space detect tagging information predict the spread of each disaster and infer a degree of risk of a management facility; a disaster management sub-system having a control function of conducting centralized supervision by displaying information about components installed in the urban underground tunnels in the metaverse space and recording a situation; and a network sub-system configured to provide the virtual space to a user terminal of an external inspector.</t>
  </si>
  <si>
    <t>Digital twin disaster management system customized for underground public areas</t>
  </si>
  <si>
    <t>US17/534563</t>
  </si>
  <si>
    <t>MARIA EL-ZOOBI</t>
  </si>
  <si>
    <t>2652: Videophones &amp; Telephonic Communications</t>
  </si>
  <si>
    <t xml:space="preserve">A digital twin disaster management system customized for urban underground tunnels, comprising:
a sensor sub-system (SSS) configured to detect environmental information, status information and image information in the urban underground tunnels;
a digital twin model management sub-system (TMS) configured to create and update a virtual space corresponding to the urban underground tunnels using informations provided from the sensor sub-system and 3D space, insert various types of attributes into the virtual space, detect tagging information, predict the spread of each disaster, and infer a degree of risk of a management facility;
a disaster management sub-system (DMS) having a control function of conducting centralized supervision by displaying information about components installed in the urban underground tunnels in the metaverse space and recording a situation; and
a network sub-system (NSS) configured to provide the created virtual space to a user terminal of an external inspector.
</t>
  </si>
  <si>
    <t>1. A digital twin disaster management system customized for urban underground tunnels, comprising:
a sensor sub-system (SSS) configured to detect environmental information, status information and image information in the urban underground tunnels;
a digital twin model management sub-system (TMS) configured to create and update a virtual space corresponding to the urban underground tunnels using informations provided from the sensor sub-system and 3D space, insert various types of attributes into the virtual space, detect tagging information, predict the spread of each disaster, and infer a degree of risk of a management facility;
a disaster management sub-system (DMS) having a control function of conducting centralized supervision by displaying information about components installed in the urban underground tunnels in the metaverse space and recording a situation; and
a network sub-system (NSS) configured to provide the created virtual space to a user terminal of an external inspector.
2. The digital twin disaster management system of claim 1, wherein the sensor sub-system comprises a fixed convergence sensor function processor including sensors fixedly installed at arbitrary positions in the urban underground tunnels.
3. The digital twin disaster management system of claim 2, wherein the sensors comprise at least one of sensors configured to detect informations lie temperature, humidity, oxygen, carbon dioxide, nitrogen, smoke, and flame in urban underground tunnels.
4. The digital twin disaster management system of claim 2, wherein the sensors comprise at least one of an sensor, a Bluetooth low energy (BLE) sensor, a radio-frequency identification (RFID) sensor, and a vibration sensor.
5. The digital twin disaster management system of claim 1, wherein the sensor sub-system comprises a mobile intelligent sensor processor including sensors and configured to move within the urban underground tunnels.
6. The digital twin disaster management system of claim 1, wherein the sensor sub-system comprises an image sensor function processor configured to obtain image information, wherein the image sensor function processor comprises a red/green/blue (RGB) camera, a thermal imaging camera, a low-light-level camera, and a LiDAR.
7. The digital twin disaster management system of claim 1, wherein the disaster management sub-system comprises:
a mobile intelligent robot management function processor configured to control overall operations of a mobile intelligent robot installed in the urban underground tunnels and manage a status of the mobile intelligent robot; and
a common status management function processor configured to display all of normal and abnormal of a facility accommodated in the urban underground tunnels and the management facility in real time on the metaverse space so as to allow a field agent or a worker in the control and management room to recognize a situation in real time.
8. The digital twin disaster management system of claim 7, wherein the disaster management sub-system further comprises a disaster model and simulation function processor configured to derive a model corresponding to an abnormal and disaster situation when a situation occurs, perform a prediction simulation function through a prediction model of the derived model, and guide to handle the disaster on the basis of a result of performing the prediction simulation function.
9. The digital twin disaster management system of claim 1, wherein the digital twin model management sub-system comprises:
a 3D spatial model generation and management function processor configured to create and manage a virtual space corresponding to the urban underground tunnels from the image information provided from the sensor sub-system;
a 3D spatial model update function processor configured to detect whether a model of the virtual space deforms and update an initial model of the virtual space when the model of the virtual space is modified or a model of the virtual space is added;
a risk management and decision supporting function processor configured to calculate a degree of risk of an object to be managed in the urban underground tunnels by analyzing information collected in the field and predictive disaster spread information; and
a digital twin model generation and management function processor configured to create a disaster model by applying disaster information to the virtual space corresponding to the urban underground tunnels and provide the created disaster model to an user terminal in the control and management room.
10. The digital twin disaster management system of claim 1, wherein the urban underground tunnels comprises at least one of a spatial structure, an accommodated facilities, sensors, a network facility, the management facility and an illumination facility.
11. The digital twin disaster management system of claim 1, wherein the risk management and decision supporting function processor calculates a degree of risk by analyzing a risk of the disaster diffusion using a result of a virtual simulation of a predictive disaster spread model when the disaster occurs.
12. The digital twin disaster management system of claim 11, wherein the risk management and decision supporting function processor uses the calculated degree of risk of the disaster diffusion and the extraction for decision making information.
13. The digital twin disaster management system of claim 1, wherein the risk management and decision supporting function processor calculates a degree of risk periodically or in real time.
14. The digital twin disaster management system of claim 1, wherein the network sub-system first transmits and receives data through a wired network and transmits and receives data through a wireless network when an obstacle occurs in the wired network.</t>
  </si>
  <si>
    <t>Myong, Seung Il|Jung, Woo Sug|Lee, Mi Suk</t>
  </si>
  <si>
    <t>H04W0004900000</t>
  </si>
  <si>
    <t>H04W0004900000 | G06T0019003000 | G06Q0050260000 | H04W0004380000 | H04W0004800000</t>
  </si>
  <si>
    <t>H04W00490000</t>
  </si>
  <si>
    <t>H04W00490000 | G06T01900000 | H04W00438000 | H04W00480000</t>
  </si>
  <si>
    <t>US20220167142A1</t>
  </si>
  <si>
    <t>US20220167142 A1 | KR20220071880 A</t>
  </si>
  <si>
    <t>I-000225515131</t>
  </si>
  <si>
    <t>https://patentscout.innography.com/share/Mh5utDKzpKiNCKnBuQOdgQ%3D%3D</t>
  </si>
  <si>
    <t>2021-11-22-ASSIGNMENT (ELECTRONICS AND TELECOMMUNICATIONS RESEARCH INSTITUTE)|2022-01-07-INFORMATION ON STATUS: PATENT APPLICATION AND GRANTING PROCEDURE IN GENERAL|2022-12-16-INFORMATION ON STATUS: PATENT APPLICATION AND GRANTING PROCEDURE IN GENERAL</t>
  </si>
  <si>
    <t>https://patentscout.innography.com/share/Mh5utDKzpKiNCKnBuQOdgQ%3D%3D/download</t>
  </si>
  <si>
    <t>https://ppubs.uspto.gov/pubwebapp/external.html?q=20220167142.pn.</t>
  </si>
  <si>
    <t>US20220167142 A1</t>
  </si>
  <si>
    <t>KR20220071880 A</t>
  </si>
  <si>
    <t>total | 建模 | 演化计算</t>
  </si>
  <si>
    <t>1. A digital twin disaster management system customized for urban underground tunnels, comprising:
a sensor sub-system (SSS) configured to detect environmental information, status information and image information in the urban underground tunnels;
a digital twin model management sub-system (TMS) configured to create and update a virtual space corresponding to the urban underground tunnels using informations provided from the sensor sub-system and 3D space, insert various types of attributes into the virtual space, detect tagging information, predict the spread of each disaster, and infer a degree of risk of a management facility;
a disaster management sub-system (DMS) having a control function of conducting centralized supervision by displaying information about components installed in the urban underground tunnels in the metaverse space and recording a situation; and
a network sub-system (NSS) configured to provide the created virtual space to a user terminal of an external inspector.</t>
  </si>
  <si>
    <t>2022-03-15</t>
  </si>
  <si>
    <t>2022-02-24</t>
  </si>
  <si>
    <t>2042-02-24</t>
  </si>
  <si>
    <t>Now with this invention people can start using their emotions as goods on the web. Literally consuming emotions investing and earning as income. It is revealed that Jungcoin the seed of emotion and 6 basic emotion coins derived from Jungcoin are the subject of invention. Unlike other IT and web3 technologies people will not make any effort to understand this technology. Just playing emotionally on the web is the correct way to use this technology so it&amp;#39;s not new at the same time it&amp;#39;s a completely new technology. Of course those who quickly understand this emotional game will be the pioneers as did YouTube Facebook &amp; Instagram and Bitcoin. 1. Points of use on SNS: Each person will deposit their emotions as emoticonized emotion coins for emotional posts images videos and sounds posted by others using emotion coins. Example) Expression of like *n number of yocoins The profit increases as more people express the same emotion in the staking pool. However as with general coin staking when a whale of a good emotion coin enters the pool it follows the PoS algorithm and can take most of the profits. (PoS- Proof of Stake method) 2. Use point for Metaverse: Using the emotion coin for any way people express their emotions. kind of deposit. The following is a list of ways in which a person can express emotions in the Web3 environment 1) Voice recognition (deep learning to analyze linguistic and acoustic data revealed in voice to catch emotions) 2) Avatar to move avatars such as facial expressions effects and gestures Everything that can be done with action 3) Moving to a specific place: A place where good emotions occur - It doesn&amp;#39;t matter where it is in real life. Metaverse volunteer activities places where unpleasant emotions occur - Virtual battlefield 3. UCC use: User Create Contents - Content creators and people will be able to give and receive fair opinions. Example) Assume that you receive a dislike coin in a situation where you receive donations and communicate with viewers in real time like YouTube Super Chat. YouTuber: Viewer 1 dislike 100000 coins Thank you and sorry. Could you give me a more detailed opinion about which part you didn&amp;#39;t like? 4. Uses of artificial intelligence: Just like people artificial intelligence personalities will be able to feel emotions through a variety of algorithms. However this AI is okay for real people to insult or attack and the perpetrator is not punished because the victim is an AI. Artificial intelligence is only one part of the emotion coin ecosystem. In addition with this emotion coin technology and deep learning technology it can be implemented fairly close to the favorable feeling system of NPCs in game fantasy novels and it becomes the algorithmic basis and basis for artificial intelligence emotions. 5. Coin Ecosystem Expansion of Worldview: Jungcoin and basic 6 sentiment coin are platform coins and developers who can code can freely create their own altcoins using a combination of 6 emotions. An easy example of two likes and dislikes: You can make a coin that hates two things by tying two dislikes at once.</t>
  </si>
  <si>
    <t>Jung coin : the 1st coin of emotion - jung coin and 6 basic emotions : devise a way to transform emotions into data on the web 3</t>
  </si>
  <si>
    <t>Jung, Hee Won</t>
  </si>
  <si>
    <t>KR20220024138A</t>
  </si>
  <si>
    <t>Claim 1 A patent claim for the large concept itself of converting emotions into data and blockchain and using them as cryptocurrencies for users of the Web 3 environment.</t>
  </si>
  <si>
    <t>1 A patent claim for the large concept itself of converting emotions into data and blockchain and using them as cryptocurrencies for users of the Web 3 environment.
According to claim 2, claim 1, limiting the basic sentiment coins to 6 types, and claiming to invent a cryptocurrency called 'Jung Coin' and starting it as a platform coin.
Following claim 3, claim 2, a patent claim for the definition and name of 6 basic appraisal coins. The names of the six basic appraisal coins are as follows. 1) Joy 2) Laughs 3) Anxiety 4) Anger 5) Sadness 6) Stability
Claims 4 and 3 claim the principle of reciprocal reciprocity. group 1. The six basic emotion coins can be purchased for the first time through Jungcoin. Article 2. When the joy coin becomes excessive, the joy coin is burned to generate a funny coin. This cycle is funny -&gt; anxiety, anxiety -&gt; anger, anger -&gt; sadness, sadness -&gt; stability, stability again -&gt; joy. Article 3. When the amount of individual coins occupies more than 53% of the entire coin ecosystem, it does not multiply any more and only changes to other coins repeatedly until it falls below 17%. Article 4. When the proportion of any coin in the entire coin ecosystem falls below 2%, it is not burned anymore and only multiplies until it reaches 11% or more. Article 5. Claims for the idea that various altcoins can be created using the basic 6-emotion coin generated and circulated according to the above rules as a platform.
Claim 5 Claims for using all of these claims in various ways in the UCC, SNS, and Metaverse ecosystems, and claims for the right to be used as a basis for emotions in artificial intelligence that will develop later</t>
  </si>
  <si>
    <t>G06Q0020065000</t>
  </si>
  <si>
    <t>G06Q0020065000 | G06Q0050010000 | G06Q0050100000 | H04L0067020000</t>
  </si>
  <si>
    <t>G06Q02006000 | G06Q05000000 | G06Q05010000 | H04L06702000</t>
  </si>
  <si>
    <t>KR20220032025A</t>
  </si>
  <si>
    <t>KR20220032025 A</t>
  </si>
  <si>
    <t>I-000223542313</t>
  </si>
  <si>
    <t>20 years from 2022-02-24 (file date)</t>
  </si>
  <si>
    <t>https://patentscout.innography.com/share/YgpcUE6zhJZy3c3-c9v0YA%3D%3D</t>
  </si>
  <si>
    <t>https://patentscout.innography.com/share/YgpcUE6zhJZy3c3-c9v0YA%3D%3D/download</t>
  </si>
  <si>
    <t>https://v3.espacenet.com/publicationDetails/biblio?CC=KR&amp;NR=20220032025A&amp;KC=A&amp;FT=D&amp;date=20220315&amp;DB=EPODOC&amp;locale=</t>
  </si>
  <si>
    <t>KR20020080165 A | KR101106857 B1 | KR20190071241 A | KR20210063284 A</t>
  </si>
  <si>
    <t>2022-02-09</t>
  </si>
  <si>
    <t>2042-02-09</t>
  </si>
  <si>
    <t>The present invention is a metaverse-based three-dimensional exhibition experience system and may include a management server that outputs exhibits through a web page.</t>
  </si>
  <si>
    <t>Metabus-based 3d exhibition experience system</t>
  </si>
  <si>
    <t>Devmate Co., Ltd.</t>
  </si>
  <si>
    <t>DEVMATE CO., LTD.</t>
  </si>
  <si>
    <t>KR20220016647A</t>
  </si>
  <si>
    <t>In the metaverse-based three-dimensional exhibition experience system, comprising a management server that outputs exhibits through a web page, the management server creates an exhibition hall where exhibits are displayed as a virtual three-dimensional exhibition space. server; and a blind date server that matches at least one matched terminal to the user and, when the matching is successful, recommends a blind date server according to the taste of the user who has succeeded in matching among the exhibitions stored in the exhibition server. , an information receiving unit for receiving exhibition information from the terminal of the exhibition organizer, the information including the organizer of the exhibition, the artist's history, the artist's information, the exhibition significance, the exhibition location, and the exhibition period;an image receiving unit for receiving an exhibition location where exhibits are displayed from the terminal of the exhibition organizer as a photo file or an image file from the entrance to the exit of the exhibition hall;an exhibition space generating unit configured to form the exhibition as a three-dimensional virtual exhibition space using the photo file or the image file received through the image receiving unit;an access control unit that allows a user to access the three-dimensional virtual exhibition space generated by the exhibition space creation unit through a user's terminal;and a security unit that provides a security code to the user's terminal, wherein the security unit checks the security code when a security code is input through an arbitrary user's terminal, and the provided security code matches the user When a security code is inputted through a terminal of an arbitrary user, the security code is inspected and provided When the security code and the user do not match, a blocking signal is provided to the access control unit to block access to the three-dimensional virtual exhibition space, and in the exhibition hall, information of the exhibition organizer, the subject of the exhibition, and the docent time. A display output unit for outputting information is provided, and the display output unit has a lower side of the supporting member configured to maintain and support the display at a predetermined height from the floor, and the supporting member is provided at both ends of the lower side of the display output unit. a second outer pillar having an empty space therein;and a second inner column fitted along the emptied inner space of the second outer column and having an empty inside, wherein the support member includes a first support column that firmly supports the second inner column. Further comprising, wherein the second outer pillar comprises a set screw groove which is formed at regular intervals and has a diameter through which a set screw can pass, the second inner post, the set screw groove of the second outer post A groove having a predetermined interval is formed so as to correspond to, and the fixing screw passes through the fixing screw groove and the groove of the second inner pillar fitted inside the second outer pillar to the opposite side of the second outer pillar. The metaverse-based three-dimensional exhibition experience system is inserted and fixed, and the first supporting pillar is connected with a first connecting pillar therebetween so as to firmly form the lower end of the supporting member.</t>
  </si>
  <si>
    <t>In the metaverse-based three-dimensional exhibition experience system, comprising a management server that outputs exhibits through a web page, the management server creates an exhibition hall where exhibits are displayed as a virtual three-dimensional exhibition space. server; and a blind date server that matches at least one matched terminal to the user and, when the matching is successful, recommends a blind date server according to the taste of the user who has succeeded in matching among the exhibitions stored in the exhibition server. , an information receiving unit for receiving exhibition information from the terminal of the exhibition organizer, the information including the organizer of the exhibition, the artist's history, the artist's information, the exhibition significance, the exhibition location, and the exhibition period;an image receiving unit for receiving an exhibition location where exhibits are displayed from the terminal of the exhibition organizer as a photo file or an image file from the entrance to the exit of the exhibition hall;an exhibition space generating unit configured to form the exhibition as a three-dimensional virtual exhibition space using the photo file or the image file received through the image receiving unit;an access control unit that allows a user to access the three-dimensional virtual exhibition space generated by the exhibition space creation unit through a user's terminal;
and a security unit that provides a security code to the user's terminal, wherein the security unit checks the security code when a security code is input through an arbitrary user's terminal, and the provided security code matches the user When a security code is inputted through a terminal of an arbitrary user, the security code is inspected and provided When the security code and the user do not match, a blocking signal is provided to the access control unit to block access to the three-dimensional virtual exhibition space, and in the exhibition hall, information of the exhibition organizer, the subject of the exhibition, and the docent time. A display output unit for outputting information is provided, and the display output unit has a lower side of the supporting member configured to maintain and support the display at a predetermined height from the floor, and the supporting member is provided at both ends of the lower side of the display output unit. a second outer pillar having an empty space therein;
and a second inner column fitted along the emptied inner space of the second outer column and having an empty inside, wherein the support member includes a first support column that firmly supports the second inner column. Further comprising, wherein the second outer pillar comprises a set screw groove which is formed at regular intervals and has a diameter through which a set screw can pass, the second inner post, the set screw groove of the second outer post A groove having a predetermined interval is formed so as to correspond to, and the fixing screw passes through the fixing screw groove and the groove of the second inner pillar fitted inside the second outer pillar to the opposite side of the second outer pillar. The metaverse-based three-dimensional exhibition experience system is inserted and fixed, and the first supporting pillar is connected with a first connecting pillar therebetween so as to firmly form the lower end of the supporting member.
delete
delete</t>
  </si>
  <si>
    <t>Cho, Jae Ho|Hong, Jong Hyun</t>
  </si>
  <si>
    <t>G06Q05010000 | G06F01695350 | G06F02130000 | G06T01900000</t>
  </si>
  <si>
    <t>KR102423080B1</t>
  </si>
  <si>
    <t>KR102423080 B1</t>
  </si>
  <si>
    <t>I-000228315250</t>
  </si>
  <si>
    <t>20 years from 2022-02-09 (file date)</t>
  </si>
  <si>
    <t>https://patentscout.innography.com/share/tgWBHgJ-IjU_H7gmK4vPqg%3D%3D</t>
  </si>
  <si>
    <t>2022-07-14-DECISION TO GRANT OR REGISTRATION OF PATENT RIGHT|2022-07-15-WRITTEN DECISION TO GRANT</t>
  </si>
  <si>
    <t>https://patentscout.innography.com/share/tgWBHgJ-IjU_H7gmK4vPqg%3D%3D/download</t>
  </si>
  <si>
    <t>https://v3.espacenet.com/publicationDetails/biblio?CC=KR&amp;NR=102423080B1&amp;KC=B1&amp;FT=D&amp;date=20220720&amp;DB=EPODOC&amp;locale=</t>
  </si>
  <si>
    <t>KR20102423080 B1</t>
  </si>
  <si>
    <t>1.  In the metaverse-based three-dimensional exhibition experience system, comprising a management server that outputs exhibits through a web page, the management server creates an exhibition hall where exhibits are displayed as a virtual three-dimensional exhibition space. server; and a blind date server that matches at least one matched terminal to the user and, when the matching is successful, recommends a blind date server according to the taste of the user who has succeeded in matching among the exhibitions stored in the exhibition server. , an information receiving unit for receiving exhibition information from the terminal of the exhibition organizer, the information including the organizer of the exhibition, the artist's history, the artist's information, the exhibition significance, the exhibition location, and the exhibition period;an image receiving unit for receiving an exhibition location where exhibits are displayed from the terminal of the exhibition organizer as a photo file or an image file from the entrance to the exit of the exhibition hall;an exhibition space generating unit configured to form the exhibition as a three-dimensional virtual exhibition space using the photo file or the image file received through the image receiving unit;an access control unit that allows a user to access the three-dimensional virtual exhibition space generated by the exhibition space creation unit through a user's terminal;
and a security unit that provides a security code to the user's terminal, wherein the security unit checks the security code when a security code is input through an arbitrary user's terminal, and the provided security code matches the user When a security code is inputted through a terminal of an arbitrary user, the security code is inspected and provided When the security code and the user do not match, a blocking signal is provided to the access control unit to block access to the three-dimensional virtual exhibition space, and in the exhibition hall, information of the exhibition organizer, the subject of the exhibition, and the docent time. A display output unit for outputting information is provided, and the display output unit has a lower side of the supporting member configured to maintain and support the display at a predetermined height from the floor, and the supporting member is provided at both ends of the lower side of the display output unit. a second outer pillar having an empty space therein;
and a second inner column fitted along the emptied inner space of the second outer column and having an empty inside, wherein the support member includes a first support column that firmly supports the second inner column. Further comprising, wherein the second outer pillar comprises a set screw groove which is formed at regular intervals and has a diameter through which a set screw can pass, the second inner post, the set screw groove of the second outer post A groove having a predetermined interval is formed so as to correspond to, and the fixing screw passes through the fixing screw groove and the groove of the second inner pillar fitted inside the second outer pillar to the opposite side of the second outer pillar. The metaverse-based three-dimensional exhibition experience system is inserted and fixed, and the first supporting pillar is connected with a first connecting pillar therebetween so as to firmly form the lower end of the supporting member.</t>
  </si>
  <si>
    <t>The present invention is a metaverse-based blind date system and may include a management server that outputs exhibits through a web page.</t>
  </si>
  <si>
    <t>Metabus-based blind date system</t>
  </si>
  <si>
    <t>KR20220016653A</t>
  </si>
  <si>
    <t>A metaverse-based blind date system comprising: a management server for outputting exhibits through a web page, the management server comprising: an exhibition viewing server for generating an exhibition hall in which exhibits are displayed as a virtual three-dimensional exhibition space; and a blind date server that matches at least one matched terminal to the user and, when matching is successful, recommends a blind date server according to the taste of the user who has succeeded in matching among the exhibitions stored in the exhibition server. a receiving unit for receiving the user's information from the user's terminal;an extraction unit for extracting a requirement for matching from the user's information and generating suitable data including the user's taste;a matching unit that provides a list of at least one matched terminal having suitable data similar to the suitable data generated by the extracting unit to the terminal of the user; and data that is selected and inputted from the user's terminal from the list of matched terminals provided by the matching unit and succeeded in matching is stored as success data, and data that failed to match from the user's terminal in the list of matched terminals is failed. A data storage unit for storing data; includes, wherein the matching unit generates a user character using the user information, and when matching is successful, invites the user's character and the matching character to a virtual space, The user's character implements gestures and facial expressions manipulated using the user's terminal, and the data storage unit accumulates, stores, and learns the success data and the failure data to build big data. dating system.</t>
  </si>
  <si>
    <t>A metaverse-based blind date system comprising: a management server for outputting exhibits through a web page, the management server comprising: an exhibition viewing server for generating an exhibition hall in which exhibits are displayed as a virtual three-dimensional exhibition space; and a blind date server that matches at least one matched terminal to the user and, when matching is successful, recommends a blind date server according to the taste of the user who has succeeded in matching among the exhibitions stored in the exhibition server. a receiving unit for receiving the user's information from the user's terminal;an extraction unit for extracting a requirement for matching from the user's information and generating suitable data including the user's taste;a matching unit that provides a list of at least one matched terminal having suitable data similar to the suitable data generated by the extracting unit to the terminal of the user; and data that is selected and inputted from the user's terminal from the list of matched terminals provided by the matching unit and succeeded in matching is stored as success data, and data that failed to match from the user's terminal in the list of matched terminals is failed. A data storage unit for storing data; includes, wherein the matching unit generates a user character using the user information, and when matching is successful, invites the user's character and the matching character to a virtual space, The user's character implements gestures and facial expressions manipulated using the user's terminal, and the data storage unit accumulates, stores, and learns the success data and the failure data to build big data. dating system.
delete
The exhibition output unit according to claim 1, wherein the exhibition hall is provided with an exhibition output unit for outputting exhibition information including information of an exhibition organizer, an exhibition subject, and a docent time, and the exhibition output unit is maintained at a certain height from the floor, a second outer pillar provided at both ends of the lower side of the display output unit and having an empty space therein;
and a second inner column fitted along the emptied inner space of the second outer column and having an inner empty inside, wherein the support member includes a first support column that firmly supports the second inner column. Further comprising, wherein the second outer pillar comprises a set screw groove which is formed at regular intervals and has a diameter through which the set screw can pass, the second inner pillar, the set screw groove of the second outer post A groove having a constant interval is formed so as to correspond to, and the fixing screw passes through the fixing screw groove and the groove of the second inner pillar fitted inside the second outer pillar to the opposite side of the second outer pillar Inserted and fixed, the first support column, the metaverse-based blind date system, the first connecting column is connected therebetween so as to firmly form the lower end of the support member.</t>
  </si>
  <si>
    <t>G06Q05010000 | G06F01616000 | G06F01695350 | G06T01900000</t>
  </si>
  <si>
    <t>KR102433844B1</t>
  </si>
  <si>
    <t>KR102433844 B1</t>
  </si>
  <si>
    <t>I-000229600330</t>
  </si>
  <si>
    <t>https://patentscout.innography.com/share/uv1RSPjzPwsXhl6zqZBTWw%3D%3D</t>
  </si>
  <si>
    <t>2022-08-12-WRITTEN DECISION TO GRANT|2022-08-12-DECISION TO GRANT OR REGISTRATION OF PATENT RIGHT</t>
  </si>
  <si>
    <t>https://patentscout.innography.com/share/uv1RSPjzPwsXhl6zqZBTWw%3D%3D/download</t>
  </si>
  <si>
    <t>https://v3.espacenet.com/publicationDetails/biblio?CC=KR&amp;NR=102433844B1&amp;KC=B1&amp;FT=D&amp;date=20220818&amp;DB=EPODOC&amp;locale=</t>
  </si>
  <si>
    <t>KR20102433844 B1</t>
  </si>
  <si>
    <t>1.  A metaverse-based blind date system comprising: a management server for outputting exhibits through a web page, the management server comprising: an exhibition viewing server for generating an exhibition hall in which exhibits are displayed as a virtual three-dimensional exhibition space; and a blind date server that matches at least one matched terminal to the user and, when matching is successful, recommends a blind date server according to the taste of the user who has succeeded in matching among the exhibitions stored in the exhibition server. a receiving unit for receiving the user's information from the user's terminal;an extraction unit for extracting a requirement for matching from the user's information and generating suitable data including the user's taste;a matching unit that provides a list of at least one matched terminal having suitable data similar to the suitable data generated by the extracting unit to the terminal of the user; and data that is selected and inputted from the user's terminal from the list of matched terminals provided by the matching unit and succeeded in matching is stored as success data, and data that failed to match from the user's terminal in the list of matched terminals is failed. A data storage unit for storing data; includes, wherein the matching unit generates a user character using the user information, and when matching is successful, invites the user's character and the matching character to a virtual space, The user's character implements gestures and facial expressions manipulated using the user's terminal, and the data storage unit accumulates, stores, and learns the success data and the failure data to build big data. dating system.</t>
  </si>
  <si>
    <t>US20210279695 A1 | US20210357447 A1 | US20220035936 A1 | US20220069996 A1 | US20220075845 A1 | US20220114600 A1 | US20220147988 A1 | WO2021062160 A1 | JP2020537780 A</t>
  </si>
  <si>
    <t>The Bidding on an Asset in Progress (BAIP) system allows live real-time bidding on a work (song artwork invention story concept etc.) during its inception and evolution. The system captures video and/or audio of the work and/or artist during inception and creation and/or production of the work. The live performance in the auction can take place in a metaverse. Depending on how the artist/musician/creator sets up an auction fans can bid on digital representations of versions and/or parts of the work the recorded video and/or audio of the work being created the physical work created specific copyright rights and supplemental assets associated with the work or the artist/musician/creator. Such a system enables bidding on any number of combinations of assets captured created or modified during one or more auctions. Fans can band together to bid on any asset and establish fractionalized ownership that is optionally governed through a DAO. After completion of the work and auction ownership of the asset(s) is preferably transferred through NFTs and the winning bidder(s) receives the finished asset(s) (digital and/or physical).</t>
  </si>
  <si>
    <t>System and method for bidding on an asset in progress</t>
  </si>
  <si>
    <t>Prophet Productions, LLC</t>
  </si>
  <si>
    <t>Prophet Productions, LLC, New York</t>
  </si>
  <si>
    <t>US17/684422</t>
  </si>
  <si>
    <t>YOGESH C GARG</t>
  </si>
  <si>
    <t>3625: Electronic Commerce</t>
  </si>
  <si>
    <t xml:space="preserve">A method, comprising:
receiving, using a network interface, asset in progress data for each of one or more finished assets;
storing, in a memory, the asset in progress data for each of the one or more finished assets;
hosting, using one or more servers, an online auction for the one or more finished assets, the online auction displaying at least some of the asset in progress data for each of the one or more finished assets, wherein the hosting comprises:
receiving, by at least one of the one or more servers, one or more of audio data and video data;
determining, using one or more processors, one or more winning bidders for at least one of the one or more finished assets; and
determining, using at least one of the one or more processors, finished asset data for the at least one of the one or more finished assets;
creating smart contract code for the at least one of the one or more finished assets based upon one or more of some of the asset in progress data and some of the finished asset data;
deploying one or more smart contracts on a blockchain for the at least one of the one or more finished assets based upon the smart contract code;
sending a transaction to each of the one or more smart contracts, each transaction transferring ownership of the at least one of the one or more finished assets to the one or more winning bidders.
</t>
  </si>
  <si>
    <t>1. A method, comprising:
receiving, using a network interface, asset in progress data for each of one or more finished assets;
storing, in a memory, the asset in progress data for each of the one or more finished assets;
hosting, using one or more servers, an online auction for the one or more finished assets, the online auction displaying at least some of the asset in progress data for each of the one or more finished assets, wherein the hosting comprises:
receiving, by at least one of the one or more servers, one or more of audio data and video data;
determining, using one or more processors, one or more winning bidders for at least one of the one or more finished assets; and
determining, using at least one of the one or more processors, finished asset data for the at least one of the one or more finished assets;
creating smart contract code for the at least one of the one or more finished assets based upon one or more of some of the asset in progress data and some of the finished asset data;
deploying one or more smart contracts on a blockchain for the at least one of the one or more finished assets based upon the smart contract code;
sending a transaction to each of the one or more smart contracts, each transaction transferring ownership of the at least one of the one or more finished assets to the one or more winning bidders.
2. The method of claim 1, wherein the asset in progress data comprises one or more of:
a description of a finished asset song;
a description of a finished asset artwork;
a description of intellectual property rights for at least one of the one or more of finished assets;
a description of a finished asset physical asset;
a description of a finished digital asset; and
a description of an asset.
3. The method of claim 1, further comprising:
receiving, by at least one of the one or more servers over a network, one or more of:
one or more pricing parameters; and
one or more auction parameters.
4. The method of claim 1, wherein the finished asset data comprises one or more of:
a finished asset title;
a finished asset song length;
a finished asset file size;
a finished asset physical size;
a finished asset key;
a finished asset tempo;
a finished asset style;
a finished asset lyrics;
a finished asset hashtag;
a finished asset winning bidder;
a finished asset winning bid amount;
a finished asset materials used;
a finished asset categorization;
a finished asset creation date;
a code representing a melody of a song;
a code representing a musical score of a song; and
a hash.
5. The method of claim 1, wherein the finished assets comprise one or more of:
video stream data;
audio stream data;
text data;
graphical data;
video data; and
audio data.
6. The method of claim 1, wherein the online auction takes place within a metaverse.
7. The method of claim 1, further comprising,
determining, using at least one of the one or more processors, a melody similarity between a melody of the song and a melody of a second song.
8. The method of claim 1, further comprising:
providing a fractionalized bidding interface, the fractionalized bidding interface enabling at least two bidders to collectively bid on at least one of the one or more finished assets.
9. The method of claim 8, wherein the fractionalized bidding interface comprises one or more of:
a chat option;
a video call option; and
an audio call option.
10. The method of claim 8, further comprising:
enabling creation of a distributed autonomous organization to manage ownership of the at least one of the one or more finished assets for at least two  of the one or more winning bidders.
11. The method of claim 8, the method further comprising:
identifying, using at least one of the one or more processors, one or more of:
an interest similarity between a first interest of a first bidder and a second interest of a second bidder; and
a matching attribute between a desired attribute of the first bidder and an attribute of the second bidder; and
notifying, utilizing the fractionalized bidding interface, one or more of the first bidder and the second bidder of one or more of the interest similarity and the matching attribute.
12. The method of claim 1, wherein at least one of the audio data and the video data comprise a melody, the method further comprising:
identifying, using at least one of the one or more processors, a melodic similarity between one or more of:
a portion of the audio data;
a portion of the video data;
a portion of one or more finished assets; and
a portion of a pre-existing copyrighted song; and
receiving, using the network interface, one or more of:
a connection request to a copyright owner of the pre-existing copyrighted song;
a mechanical license request;
a sync license request;
an option to remove at least one of the one or more finished assets from the auction; and
an option to remove one or more of the portion of audio data, the portion of video data, and the portion of the one or more finished assets from one or more of the audio feed and the video feed.
13. The method of claim 1, further comprising:
receiving, by the network interface, a start time and a stop time of at least one of the audio data and the video data;
creating, by at least one of the one or more servers, a new finished asset related to a time period between at least the start time and the stop time, wherein the new finished asset is one of the one or more finished assets.
14. The method of claim 2, wherein the asset is a contract, and wherein one or more of the asset in progress data and the finished asset data comprises one or more contract terms.
15. The method of claim 2, further comprising:
receiving, via a menu of copyright rights interface, the description of intellectual property rights for the at least one of the one or more finished assets.
16. A system, comprising:
a network interface, the network interface configured to receive asset in progress data for each of one or more finished assets;
a memory, the memory configured to store the asset in progress data for each of the one or more finished assets;
one or more servers, at least one of the one or more servers configured to host an online auction for the one or more finished assets and to receive one or more of audio data and video data, the online auction displaying at least some of the asset in progress data for each of the one or more finished assets; and
one or more processors, the one or more processors configured to:
determine one or more winning bidders and finished asset data for at least one of the one or more finished assets;
create smart contract code for the at least one of the one or more finished assets based upon one or more of some of the asset in progress data and some of the finished asset data;
deploy one or more smart contracts on a blockchain for the at least one of the one or more finished assets based upon the smart contract code; and
send a transaction to each of the one or more smart contracts, each transaction transferring ownership of the at least one of the one or more finished assets to the one or more winning bidders.
17. The system of claim 16, wherein the asset in progress data comprises one or more of:
a description of a finished asset song;
a description of a finished asset artwork;
a description of intellectual property rights for at least one of the one or more of finished assets;
a description of a finished asset physical asset;
a description of a finished digital asset; and
a description of an asset.
18. The system of claim 16, further comprising:
receiving, by at least one of the one or more servers over a network, one or more of:
one or more pricing parameters; and
one or more auction parameters.
19. The system of claim 16, wherein the finished asset data comprises one or more of:
a finished asset title;
a finished asset song length;
a finished asset file size;
a finished asset physical size;
a finished asset key;
a finished asset tempo;
a finished asset style;
a finished asset lyrics;
a finished asset hashtag;
a finished asset winning bidder;
a finished asset winning bid amount;
a finished asset materials used;
a finished asset categorization;
a finished asset creation date;
a code representing a melody of a song;
a code representing a musical score of a song; and
a hash.
20. The system of claim 16, wherein the finished assets comprise one or more of:
video stream data;
audio stream data;
text data;
graphical data;
video data; and
audio data.
21. The system of claim 16, wherein the online auction takes place within a metaverse.
22. The system of claim 16, wherein the one or more assets comprise a first song, and wherein at least one of the one or more processors is configured to determine a melody similarity between a melody of the first song and a melody of a second song.
23. The system of claim 16, further comprising:
a fractionalized bidding interface, the fractionalized bidding interface configured to enable at least two bidders to collectively bid on at least one of the one or more finished assets.
24. The system of claim 23, wherein the fractionalized bidding interface comprises one or more of:
a chat option;
a video call option; and
an audio call option.
25. The system of claim 23, wherein the fractionalized bidding interface enables the creation of a distributed autonomous organization, the distributed autonomous organization configured to manage ownership of the at least one of the one or more finished assets for at least two of the one or more winning bidders.
26. The system of claim 23, wherein at least one of the one or more processors is configured to identify one or more of:
an interest similarity between a first interest of a first bidder and a second interest of a second bidder; and
a matching attribute between a desired attribute of the first bidder and an attribute of the second bidder; and
configured to notify, utilizing the fractionalized bidding interface, one or more of the first bidder and the second bidder of one or more of the interest similarity and the matching attribute.
27. The system of claim 1, wherein at least one of the audio data and the video data comprise a melody, and wherein at least one of the one or more processors is configured to:
identify a melodic similarity between one or more of:
a portion of the audio data;
a portion of the video data;
a portion of one or more finished assets; and
a portion of a pre-existing copyrighted song, and wherein the network interface is further configured to receive one or more of:
a connection request to a copyright owner of the pre-existing copyrighted song;
a mechanical license request;
a sync license request;
an option to remove at least one of the one or more finished assets from the auction; and
an option to remove one or more of the portion of audio data, the portion of video data, and the portion of the one or more finished assets from one or more of the audio feed and the video feed.
28. The system of claim 16, wherein at least one of the one or more servers is configured to receive a start time and a stop time of at least one of the audio data and the video data; and configured to create a new finished asset related to a time period between at least the start time and the stop time, wherein the new finished asset is one of the one or more finished assets.
29. The system of claim 17, wherein the asset is a contract, and wherein one or more of the asset in progress data and the finished asset data comprise one or more contract terms.
30. The system of claim 17, further comprising:
a menu of copyright rights interface, the menu of copyrights rights interface configured to receive the description of intellectual property rights for the at least one of the one or more finished assets.</t>
  </si>
  <si>
    <t>Aviv, Bobby Elijah|Pearson, Amy Leigh</t>
  </si>
  <si>
    <t>G06Q0030027500</t>
  </si>
  <si>
    <t>G06Q0030027500 | G06Q0020123500 | G06Q0020389000</t>
  </si>
  <si>
    <t>G06Q03006000 | G06Q02012000 | G06Q02038000 | G06Q03002000</t>
  </si>
  <si>
    <t>US11481815B1</t>
  </si>
  <si>
    <t>US11481815 B1</t>
  </si>
  <si>
    <t>I-000230951706</t>
  </si>
  <si>
    <t>https://patentscout.innography.com/share/eVxfFldxxSmB9DPruPal3Q%3D%3D</t>
  </si>
  <si>
    <t>2022-03-02-FEE PAYMENT PROCEDURE|2022-03-05-FEE PAYMENT PROCEDURE|2022-10-05-INFORMATION ON STATUS: PATENT GRANT</t>
  </si>
  <si>
    <t>https://patentscout.innography.com/share/eVxfFldxxSmB9DPruPal3Q%3D%3D/download</t>
  </si>
  <si>
    <t>https://ppubs.uspto.gov/pubwebapp/external.html?q=11481815.pn.</t>
  </si>
  <si>
    <t>1. A method, comprising:
receiving, using a network interface, asset in progress data for each of one or more finished assets;
storing, in a memory, the asset in progress data for each of the one or more finished assets;
hosting, using one or more servers, an online auction for the one or more finished assets, the online auction displaying at least some of the asset in progress data for each of the one or more finished assets, wherein the hosting comprises:
receiving, by at least one of the one or more servers, one or more of audio data and video data;
determining, using one or more processors, one or more winning bidders for at least one of the one or more finished assets; and
determining, using at least one of the one or more processors, finished asset data for the at least one of the one or more finished assets;
creating smart contract code for the at least one of the one or more finished assets based upon one or more of some of the asset in progress data and some of the finished asset data;
deploying one or more smart contracts on a blockchain for the at least one of the one or more finished assets based upon the smart contract code;
sending a transaction to each of the one or more smart contracts, each transaction transferring ownership of the at least one of the one or more finished assets to the one or more winning bidders.</t>
  </si>
  <si>
    <t>16. A system, comprising:
a network interface, the network interface configured to receive asset in progress data for each of one or more finished assets;
a memory, the memory configured to store the asset in progress data for each of the one or more finished assets;
one or more servers, at least one of the one or more servers configured to host an online auction for the one or more finished assets and to receive one or more of audio data and video data, the online auction displaying at least some of the asset in progress data for each of the one or more finished assets; and
one or more processors, the one or more processors configured to:
determine one or more winning bidders and finished asset data for at least one of the one or more finished assets;
create smart contract code for the at least one of the one or more finished assets based upon one or more of some of the asset in progress data and some of the finished asset data;
deploy one or more smart contracts on a blockchain for the at least one of the one or more finished assets based upon the smart contract code; and
send a transaction to each of the one or more smart contracts, each transaction transferring ownership of the at least one of the one or more finished assets to the one or more winning bidders.</t>
  </si>
  <si>
    <t>2021-04-29</t>
  </si>
  <si>
    <t>2022-04-29</t>
  </si>
  <si>
    <t>2042-04-29</t>
  </si>
  <si>
    <t>2021-06-16</t>
  </si>
  <si>
    <t>System and Method for organising big-data and extracting workstream parameters to expedite digital transformations employing analytics to prompt promote and predict better answers to complex challenges from cognitively diverse communities thus mitigating digital programme transformation risks using crowds of human-centred thinking total knowledge sourcing personalised skills enhancement augmented problem analysis and immersive team solutioning that is channelled into a group consensus for better decision making comprising a cloud based hosting and analytical AI platform; performing the following steps to the inputted data: Ingest Supplement; Cluster Predict and Output; and for use for use in standard computing environments as well as virtual environments in online virtual worlds or metaverse.</t>
  </si>
  <si>
    <t>System and method for organising big-data and workstream parameters for digital transformations</t>
  </si>
  <si>
    <t>Digiworkz Limited</t>
  </si>
  <si>
    <t>Digiworks Co., Ltd.</t>
  </si>
  <si>
    <t>US17/661384</t>
  </si>
  <si>
    <t xml:space="preserve">A computer based method for organising big-data and extracting workstream parameters to expedite digital transformations, employing analytics to prompt, promote and predict better answers to complex challenges from cognitively diverse communities thus mitigating digital programme transformation risks using crowds of human-centred thinking, total knowledge sourcing, personalised skills enhancement, augmented problem analysis and immersive team solutioning that is channelled into a group consensus for better decision making, comprising:
a cloud based hosting and analytical AI platform;
connecting users and users operating programs, including internal and external knowledge systems, programme applications and collaboration devices via secure means to the platform;
authenticating users and workstreams;
parsing structured and unstructured data from the users operating programs;
extracting from the users operating programs sequence, volume and intensity of challenges, problems and tasks to determine optimum solutioning profiles;
performing analytics to prompt, promote and prescribe solutioning and risk mitigating actions and determining risk profile;
clustering and sequencing challenges to be solved relative to defined risk profile solution themes, previously successful solution attempts from across the crowd or community and severity of risk relative to impact of a failed solution on transformation value objectives;
compiling and presenting metric and graphical representations of the solutioning and problem solving landscape to mitigate risk; and
determining best approaches to restructuring programme workstreams, team structures, task prioritisation and benefit realisation tracking.
</t>
  </si>
  <si>
    <t>1. A computer based method for organising big-data and extracting workstream parameters to expedite digital transformations, employing analytics to prompt, promote and predict better answers to complex challenges from cognitively diverse communities thus mitigating digital programme transformation risks using crowds of human-centred thinking, total knowledge sourcing, personalised skills enhancement, augmented problem analysis and immersive team solutioning that is channelled into a group consensus for better decision making, comprising:
a cloud based hosting and analytical AI platform;
connecting users and users operating programs, including internal and external knowledge systems, programme applications and collaboration devices via secure means to the platform;
authenticating users and workstreams;
parsing structured and unstructured data from the users operating programs;
extracting from the users operating programs sequence, volume and intensity of challenges, problems and tasks to determine optimum solutioning profiles;
performing analytics to prompt, promote and prescribe solutioning and risk mitigating actions and determining risk profile;
clustering and sequencing challenges to be solved relative to defined risk profile solution themes, previously successful solution attempts from across the crowd or community and severity of risk relative to impact of a failed solution on transformation value objectives;
compiling and presenting metric and graphical representations of the solutioning and problem solving landscape to mitigate risk; and
determining best approaches to restructuring programme workstreams, team structures, task prioritisation and benefit realisation tracking.
2. A computer based method for organising big-data and extracting workstream parameters to expedite digital transformations, which method employs analytics solution that predicts and mitigates digital programme transformation risks using human-centred interventions around skills, team composition, leadership, communication and collaboration, comprising:
providing a cloud based hosting and analytical AI platform;
connecting users and users operating programs via secure means to the platform;
authenticating users and workstreams;
parsing structured and unstructured data from the users operating programs;
extracting from the users operating programs sequence, volume and intensity of tasks to determine optimum fulfilment profiles;
performing analytics to prescribe risk mitigating actions and determining risk profile;
clustering and sequencing tasks relative to defined risk profile;
predicting gaps and flagging emerging risks continuously during the lifecycle of the programs;
compiling and presenting metric and graphical representations to mitigate risk; and
presenting restructured workstreams.
3. A method according to claim 1, wherein the data offered is in the form of documents, text, images, video, media files, metadata etc.
4. A method according to claim 3, wherein the parsing of the data extracts metadata such as subject matter, topics, elements; and tags with keywords, location and codes of inter-connections.
5. A method according to claim 4, wherein the clustering is arranged with filters offered from the metadata and selectable by a user.
6. A method according to claim 1, further comparing and quantifying a value of compatibility of said data or data subsections with the users' operating program sequence.
7. A method according to claim 6, wherein the parsing comprises data from two or more sources.
8. A method according to claim 1, wherein the presenting comprises a combination of high quantifying a value of subsections from multiples data sources.
9. A method according to claim 1, wherein the method is for use in virtual environments, in online virtual worlds or metaverse.
10. A system for organising big-data and extracting workstream parameters to expedite digital transformations, which method employs analytics solution that predicts and mitigates digital programme transformation risks using human-centred interventions around skills, team composition, leadership, communication and collaboration, performing the method of claim 1.
11. A non-transitory computer-readable storage medium having stored thereon computer-readable code, which, when executed by computing apparatus, causes the computing apparatus to perform the method of claim 1.</t>
  </si>
  <si>
    <t>Collins, Laurence</t>
  </si>
  <si>
    <t>G06N0005020000</t>
  </si>
  <si>
    <t>G06N0005020000 | G06F0016285000 | G06F0016245730</t>
  </si>
  <si>
    <t>G06N00502000</t>
  </si>
  <si>
    <t>G06N00502000 | G06F01624570 | G06F01628000</t>
  </si>
  <si>
    <t>GB202106168D0|GB202206344D0|ZA202204784B|US20220351048A1|CA3157016A1|AU2022202849A1</t>
  </si>
  <si>
    <t>GB202106168 D | GB202206344 D | ZA202204784 B | US20220351048 A1 | CA3157016 A1 | AU2022202849 A1</t>
  </si>
  <si>
    <t>I-000231561801</t>
  </si>
  <si>
    <t>20 years from 2022-04-29 (file date)</t>
  </si>
  <si>
    <t>https://patentscout.innography.com/share/_2uN_9TMzZAp165JIrDSTg%3D%3D</t>
  </si>
  <si>
    <t>2022-05-09-ASSIGNMENT (DIGIWORKZ LIMITED)|2022-06-06-INFORMATION ON STATUS: PATENT APPLICATION AND GRANTING PROCEDURE IN GENERAL</t>
  </si>
  <si>
    <t>https://patentscout.innography.com/share/_2uN_9TMzZAp165JIrDSTg%3D%3D/download</t>
  </si>
  <si>
    <t>https://ppubs.uspto.gov/pubwebapp/external.html?q=20220351048.pn.</t>
  </si>
  <si>
    <t>US20220351048 A1</t>
  </si>
  <si>
    <t>GB202106168 D0</t>
  </si>
  <si>
    <t>Koffsky Schwalb LLC</t>
  </si>
  <si>
    <t>1. A computer based method for organising big-data and extracting workstream parameters to expedite digital transformations, employing analytics to prompt, promote and predict better answers to complex challenges from cognitively diverse communities thus mitigating digital programme transformation risks using crowds of human-centred thinking, total knowledge sourcing, personalised skills enhancement, augmented problem analysis and immersive team solutioning that is channelled into a group consensus for better decision making, comprising:
a cloud based hosting and analytical AI platform;
connecting users and users operating programs, including internal and external knowledge systems, programme applications and collaboration devices via secure means to the platform;
authenticating users and workstreams;
parsing structured and unstructured data from the users operating programs;
extracting from the users operating programs sequence, volume and intensity of challenges, problems and tasks to determine optimum solutioning profiles;
performing analytics to prompt, promote and prescribe solutioning and risk mitigating actions and determining risk profile;
clustering and sequencing challenges to be solved relative to defined risk profile solution themes, previously successful solution attempts from across the crowd or community and severity of risk relative to impact of a failed solution on transformation value objectives;
compiling and presenting metric and graphical representations of the solutioning and problem solving landscape to mitigate risk; and
determining best approaches to restructuring programme workstreams, team structures, task prioritisation and benefit realisation tracking.</t>
  </si>
  <si>
    <t>2. A computer based method for organising big-data and extracting workstream parameters to expedite digital transformations, which method employs analytics solution that predicts and mitigates digital programme transformation risks using human-centred interventions around skills, team composition, leadership, communication and collaboration, comprising:
providing a cloud based hosting and analytical AI platform;
connecting users and users operating programs via secure means to the platform;
authenticating users and workstreams;
parsing structured and unstructured data from the users operating programs;
extracting from the users operating programs sequence, volume and intensity of tasks to determine optimum fulfilment profiles;
performing analytics to prescribe risk mitigating actions and determining risk profile;
clustering and sequencing tasks relative to defined risk profile;
predicting gaps and flagging emerging risks continuously during the lifecycle of the programs;
compiling and presenting metric and graphical representations to mitigate risk; and
presenting restructured workstreams.</t>
  </si>
  <si>
    <t>2022-10-29</t>
  </si>
  <si>
    <t>System and Method for organising big-data and extracting workstream parameters  to  expedite digital transformations employing analytics to prompt promote and  predict better  answers to complex challenges from cognitively diverse communities thus  mitigating  digital programme transformation risks using crowds of human-centred thinking  total  knowledge sourcing personalised skills enhancement augmented problem  analysis and  immersive team solutioning that is channelled into a group consensus for  better decision  making comprising a cloud based hosting and analytical AI platform;  performing the  following steps to the inputted data: Ingest Supplement; Cluster Predict and  Output; and  for use for use in standard computing environments as well as virtual  environments in  online virtual worlds or metaverse.</t>
  </si>
  <si>
    <t>CA3157016A</t>
  </si>
  <si>
    <t>1. A computer based method for organising big-data and extracting workstream parameters to expedite digital transformations, employing analytics to prompt, promote and predict better answers to complex challenges from cognitively diverse communities thus mitigating digital programme transformation risks using crowds of human- centred thinking, total knowledge sourcing, personalised skills enhancement, augmented problem analysis and immersive team solutioning that is channelled into a group consensus for better decision making, comprising: a cloud based hosting and analytical AI platform; connecting users and users operating programs, including internal and external knowledge systems, programme applications and collaboration devices via secure means to the platform; authenticating users and workstreams; parsing structured and unstructured data from the users operating programs; extracting from the users operating programs sequence, volume and intensity of challenges, problems and tasks to determine optimum solutioning profiles; performing analytics to prompt, promote and prescribe solutioning and risk mitigating actions and determining risk profile; clustering and sequencing challenges to be solved relative to defined risk profile solution themes, previously successful solution attempts from across the crowd or community and severity of risk relative to impact of a failed solution on transformation value objectives; compiling and presenting metric and graphical representations of the solutioning and problem solving landscape to mitigate risk; and determining best approaches to restructuring programme workstreams, team structures, task prioritisation and benefit realisation tracking.</t>
  </si>
  <si>
    <t>1. A computer based method for organising big-data and extracting workstream parameters to expedite digital transformations, employing analytics to prompt, promote and predict better answers to complex challenges from cognitively diverse communities thus mitigating digital programme transformation risks using crowds of human- centred thinking, total knowledge sourcing, personalised skills enhancement, augmented problem analysis and immersive team solutioning that is channelled into a group consensus for better decision making, comprising: a cloud based hosting and analytical AI platform; connecting users and users operating programs, including internal and external knowledge systems, programme applications and collaboration devices via secure means to the platform; authenticating users and workstreams; parsing structured and unstructured data from the users operating programs; extracting from the users operating programs sequence, volume and intensity of challenges, problems and tasks to determine optimum solutioning profiles; performing analytics to prompt, promote and prescribe solutioning and risk mitigating actions and determining risk profile; clustering and sequencing challenges to be solved relative to defined risk profile solution themes, previously successful solution attempts from across the crowd or community and severity of risk relative to impact of a failed solution on transformation value objectives; compiling and presenting metric and graphical representations of the solutioning and problem solving landscape to mitigate risk; and determining best approaches to restructuring programme workstreams, team structures, task prioritisation and benefit realisation tracking.
2. A computer based method for organising big-data and extracting workstream parameters to expedite digital transformations, which method employs analytics solution that predicts and mitigates digital programme transformation risks using human- centred interventions around skills, team composition, leadership, communication and collaboration, comprising: providing a cloud based hosting and analytical AI platform; connecting users and users operating programs via secure means to the platform; authenticating users and workstreams; parsing structured and unstructured data from the users operating programs; extracting from the users operating programs sequence, volume and intensity of tasks to determine optimum fulfilment profiles; performing analytics to prescribe risk mitigating actions and determining risk profile; clustering and sequencing tasks relative to defined risk profile; predicting gaps and flagging emerging risks continuously during the lifecycle of the programs; compiling and presenting metric and graphical representations to mitigate risk; and presenting restructured workstreams.
3. A method according to claim 1 or claim 2, wherein the data offered is in the form of documents, text, images, video, media files, metadata etc.
4. A method according to claim 3, wherein the parsing of the data extracts metadata such as subject matter, topics, elements; and tags with keywords, location and codes of inter-connections.
5. A method according to claim 4, wherein the clustering is arranged with filters offered from the metadata and selectable by a user.
6. A method according to any one of claims 1 to 5, further comparing and quantifying a value of compatibility of said data or data subsections with the users' operating program sequence.
7. A method according to claim 6, wherein the parsing comprises data from two or more sources.
8. A method according to any one of claims 1 to 7, wherein the presenting comprises a combination of high quantifying a value of subsections from multiples data sources.
9. A method according to any one of claims 1 to 8, wherein the method is for use in virtual environments, in online virtual worlds or metaverse.
10. A system for organising big-data and extracting workstream parameters to expedite digital transformations, which method employs analytics solution that predicts and mitigates digital programme transformation risks using human-centred interventions around skills, team composition, leadership, communication and collaboration, comprising the details of the above mentioned methods.
11. A non-transitory computer-readable storage medium having stored thereon computer- readable code, which, when executed by computing apparatus, causes the computing apparatus to perform the method of any one of claims 1 to 9.</t>
  </si>
  <si>
    <t>CA</t>
  </si>
  <si>
    <t>G06F01700000</t>
  </si>
  <si>
    <t>G06F01700000 | G06F01600000</t>
  </si>
  <si>
    <t>$8437</t>
  </si>
  <si>
    <t>I-000231843178</t>
  </si>
  <si>
    <t>https://patentscout.innography.com/share/F8ndRRJHal5GfzJmEzz2Pg%3D%3D</t>
  </si>
  <si>
    <t>https://patentscout.innography.com/share/F8ndRRJHal5GfzJmEzz2Pg%3D%3D/download</t>
  </si>
  <si>
    <t>https://v3.espacenet.com/publicationDetails/biblio?CC=CA&amp;NR=3157016A1&amp;KC=A1&amp;FT=D&amp;date=20221029&amp;DB=EPODOC&amp;locale=</t>
  </si>
  <si>
    <t>CA03157016 A1</t>
  </si>
  <si>
    <t>BROUILLETTE LEGAL</t>
  </si>
  <si>
    <t>CA Applications</t>
  </si>
  <si>
    <t>2.  1.  A computer based method for organising big-data and extracting workstream parameters to expedite digital transformations, employing analytics to prompt, promote and predict better answers to complex challenges from cognitively diverse communities thus mitigating digital programme transformation risks using crowds of human- centred thinking, total knowledge sourcing, personalised skills enhancement, augmented problem analysis and immersive team solutioning that is channelled into a group consensus for better decision making, comprising: a cloud based hosting and analytical AI platform; connecting users and users operating programs, including internal and external knowledge systems, programme applications and collaboration devices via secure means to the platform; authenticating users and workstreams; parsing structured and unstructured data from the users operating programs; extracting from the users operating programs sequence, volume and intensity of challenges, problems and tasks to determine optimum solutioning profiles; performing analytics to prompt, promote and prescribe solutioning and risk mitigating actions and determining risk profile; clustering and sequencing challenges to be solved relative to defined risk profile solution themes, previously successful solution attempts from across the crowd or community and severity of risk relative to impact of a failed solution on transformation value objectives; compiling and presenting metric and graphical representations of the solutioning and problem solving landscape to mitigate risk; and determining best approaches to restructuring programme workstreams, team structures, task prioritisation and benefit realisation tracking.</t>
  </si>
  <si>
    <t>3.  2.  A computer based method for organising big-data and extracting workstream parameters to expedite digital transformations, which method employs analytics solution that predicts and mitigates digital programme transformation risks using human- centred interventions around skills, team composition, leadership, communication and collaboration, comprising: providing a cloud based hosting and analytical AI platform; connecting users and users operating programs via secure means to the platform; authenticating users and workstreams; parsing structured and unstructured data from the users operating programs; extracting from the users operating programs sequence, volume and intensity of tasks to determine optimum fulfilment profiles; performing analytics to prescribe risk mitigating actions and determining risk profile; clustering and sequencing tasks relative to defined risk profile; predicting gaps and flagging emerging risks continuously during the lifecycle of the programs; compiling and presenting metric and graphical representations to mitigate risk; and presenting restructured workstreams.</t>
  </si>
  <si>
    <t>11.  10.  A system for organising big-data and extracting workstream parameters to expedite digital transformations, which method employs analytics solution that predicts and mitigates digital programme transformation risks using human-centred interventions around skills, team composition, leadership, communication and collaboration, comprising the details of the above mentioned methods.</t>
  </si>
  <si>
    <t>2022-08-01</t>
  </si>
  <si>
    <t>2042-08-01</t>
  </si>
  <si>
    <t>The present invention relates to a big data-based smart distribution logistics system implemented to implement nationwide network smart distribution management using a metabus that reproduces a warehouse form using a metabus platform a logistics warehouse for storing goods; And the actual logistics space of the logistics warehouse is mapped and expressed as a metaverse which is a virtual logistics space and the goods stored in the logistics warehouse are placed in a location in the virtual logistics space corresponding to the storage location of the actual logistics space of the logistics warehouse. It includes; a smart logistics server that maps and expresses through big data analysis.</t>
  </si>
  <si>
    <t>Big data-based smart distribution logistics system</t>
  </si>
  <si>
    <t>KR20220095640A</t>
  </si>
  <si>
    <t>Logistics warehouse for storing goods; And a smart logistics server that maps and displays the actual logistics space of the logistics warehouse to the metaverse, which is a virtual logistics space. At least one item photographing unit for transmitting information to the smart distribution server; further comprising, wherein the smart distribution server reads the image information transmitted from the item photographing unit and carries in or out of the goods stored in the warehouse., wherein the article photographing unit includes a moving rail extending along the upper side of the distribution warehouse;a sliding unit connected to the movable rail and sliding along the movable rail;a rotation unit rotatably connected to the lower side of the sliding unit;a tilting unit connected to and installed at a lower side of the rotation unit so as to be tiltable; And a photographing unit installed at the front end of the tilting unit, photographing a surrounding image, generating image information, and transmitting the image information to the smart logistics server; including, the sliding unit is installed connected to one side of the moving rail a first wheel-type gear that rotates and moves along one side of the movable rail in the forward and backward directions;a second wheel-type gear connected to the other side of the movable rail and moving while rotating in a forward and backward direction along the other side of the movable rail; And a unit installation frame to which the first wheel-type gear is connected to one side, the second wheel-type gear is connected to the other side, and the rotation unit is installed to the lower side; includes, the moving rail, the logistics A rail body portion extending along the upper side of the warehouse;A first wheel-shaped gear extending in the longitudinal direction along one side of the rail body so that the first wheel-shaped gear can be seated, and forming a gear mountain along the bottom surface to engage with the gear mountain of the first wheel-shaped gear. sliding groove;A second wheel-shaped gear extending in the longitudinal direction along the other side of the rail body so that the second wheel-shaped gear can be seated, and forming a gear mountain along the bottom surface to engage with the gear mountain of the second wheel-shaped gear. sliding groove;It is installed along the inner side of the upper part of the rail body, and the lower outward surface is exposed to the upper side of the first sliding groove and is in close contact with the upper side of the first wheel gear seated in the first sliding groove, and the first wheel a first rotation guidance belt which forms a gear mountain along an outward surface so as to be engaged with the gear mountain of the type gear, and is rotated in a forward or reverse direction to rotate the first wheel-type gear; And it is installed along the inner side of the upper part of the rail body, the lower outward surface is exposed to the upper side of the second sliding groove and is in close contact with the upper side of the second wheel gear seated in the second sliding groove, and the second A second rotation guide belt forming a gear mountain along an outward surface so as to be engaged with the gear mountain of the wheel gear and rotating in a forward or reverse direction to rotate the second wheel gear; The portion is formed to extend in the longitudinal direction, the first rotation guide belt is installed along the inner side of one side, the upper body to which the second rotation guide belt is installed along the inner side of the other side;a lower body facing the upper body and spaced downward from the upper body;an intermediate body extending from the lower end of the upper body in a lower right angle direction, seated along the upper end of the lower body, and having the first sliding groove formed on one side and the second sliding groove formed on the other side; and a plurality of spacing control units installed at regular intervals along the inside of the middle body and adjusting a spacing between the upper body and the lower body while supporting the lower body. The control unit may include an inner housing extending upward and downward along the inner side of the intermediate body while forming a closed internal space; an intermediate plate formed in a flat plate shape corresponding to the cross section of the inner space of the inner housing and disposed in the middle of the inner space of the inner housing; an upper support spring installed on an upper side of the inner space of the inner housing to support an upper side of the middle plate; a lower support spring installed on the lower side of the inner space of the inner housing to support the lower side of the middle plate; a mounting frame installed upright on the lower side of the middle plate, the lower end of which is exposed to the lower side of the middle body, and then installed on the upper end of the lower body to support the lower body; and supplying fluid to the upper side of the inner space of the inner housing where the upper support spring is installed to lower the stop plate, or recovering the fluid supplied to the upper side of the inner space of the inner housing where the upper support spring is installed. A big data-based smart distribution logistics system comprising a; height control pump that raises the stopping plate.</t>
  </si>
  <si>
    <t>Logistics warehouse for storing goods; And a smart logistics server that maps and displays the actual logistics space of the logistics warehouse to the metaverse, which is a virtual logistics space. At least one item photographing unit for transmitting information to the smart distribution server; further comprising, wherein the smart distribution server reads the image information transmitted from the item photographing unit and carries in or out of the goods stored in the warehouse., wherein the article photographing unit includes a moving rail extending along the upper side of the distribution warehouse;a sliding unit connected to the movable rail and sliding along the movable rail;a rotation unit rotatably connected to the lower side of the sliding unit;a tilting unit connected to and installed at a lower side of the rotation unit so as to be tiltable; And a photographing unit installed at the front end of the tilting unit, photographing a surrounding image, generating image information, and transmitting the image information to the smart logistics server; including, the sliding unit is installed connected to one side of the moving rail a first wheel-type gear that rotates and moves along one side of the movable rail in the forward and backward directions;a second wheel-type gear connected to the other side of the movable rail and moving while rotating in a forward and backward direction along the other side of the movable rail; And a unit installation frame to which the first wheel-type gear is connected to one side, the second wheel-type gear is connected to the other side, and the rotation unit is installed to the lower side; includes, the moving rail, the logistics A rail body portion extending along the upper side of the warehouse;A first wheel-shaped gear extending in the longitudinal direction along one side of the rail body so that the first wheel-shaped gear can be seated, and forming a gear mountain along the bottom surface to engage with the gear mountain of the first wheel-shaped gear. sliding groove;A second wheel-shaped gear extending in the longitudinal direction along the other side of the rail body so that the second wheel-shaped gear can be seated, and forming a gear mountain along the bottom surface to engage with the gear mountain of the second wheel-shaped gear. sliding groove;It is installed along the inner side of the upper part of the rail body, and the lower outward surface is exposed to the upper side of the first sliding groove and is in close contact with the upper side of the first wheel gear seated in the first sliding groove, and the first wheel a first rotation guidance belt which forms a gear mountain along an outward surface so as to be engaged with the gear mountain of the type gear, and is rotated in a forward or reverse direction to rotate the first wheel-type gear; And it is installed along the inner side of the upper part of the rail body, the lower outward surface is exposed to the upper side of the second sliding groove and is in close contact with the upper side of the second wheel gear seated in the second sliding groove, and the second A second rotation guide belt forming a gear mountain along an outward surface so as to be engaged with the gear mountain of the wheel gear and rotating in a forward or reverse direction to rotate the second wheel gear; The portion is formed to extend in the longitudinal direction, the first rotation guide belt is installed along the inner side of one side, the upper body to which the second rotation guide belt is installed along the inner side of the other side;a lower body facing the upper body and spaced downward from the upper body;an intermediate body extending from the lower end of the upper body in a lower right angle direction, seated along the upper end of the lower body, and having the first sliding groove formed on one side and the second sliding groove formed on the other side; and a plurality of spacing control units installed at regular intervals along the inside of the middle body and adjusting a spacing between the upper body and the lower body while supporting the lower body. The control unit may include an inner housing extending upward and downward along the inner side of the intermediate body while forming a closed internal space; an intermediate plate formed in a flat plate shape corresponding to the cross section of the inner space of the inner housing and disposed in the middle of the inner space of the inner housing; an upper support spring installed on an upper side of the inner space of the inner housing to support an upper side of the middle plate; a lower support spring installed on the lower side of the inner space of the inner housing to support the lower side of the middle plate; a mounting frame installed upright on the lower side of the middle plate, the lower end of which is exposed to the lower side of the middle body, and then installed on the upper end of the lower body to support the lower body; and supplying fluid to the upper side of the inner space of the inner housing where the upper support spring is installed to lower the stop plate, or recovering the fluid supplied to the upper side of the inner space of the inner housing where the upper support spring is installed. A big data-based smart distribution logistics system comprising a; height control pump that raises the stopping plate.
delete</t>
  </si>
  <si>
    <t>KR102474004B1</t>
  </si>
  <si>
    <t>I-000233305582</t>
  </si>
  <si>
    <t>20 years from 2022-08-01 (file date)</t>
  </si>
  <si>
    <t>https://patentscout.innography.com/share/UBSF8LL_iQkSa2gUSQ7FGw%3D%3D</t>
  </si>
  <si>
    <t>https://patentscout.innography.com/share/UBSF8LL_iQkSa2gUSQ7FGw%3D%3D/download</t>
  </si>
  <si>
    <t>https://v3.espacenet.com/publicationDetails/biblio?CC=KR&amp;NR=102474004B1&amp;KC=B1&amp;FT=D&amp;date=20221205&amp;DB=EPODOC&amp;locale=</t>
  </si>
  <si>
    <t>KR20102474004 B1</t>
  </si>
  <si>
    <t>1.  Logistics warehouse for storing goods; And a smart logistics server that maps and displays the actual logistics space of the logistics warehouse to the metaverse, which is a virtual logistics space. At least one item photographing unit for transmitting information to the smart distribution server; further comprising, wherein the smart distribution server reads the image information transmitted from the item photographing unit and carries in or out of the goods stored in the warehouse., wherein the article photographing unit includes a moving rail extending along the upper side of the distribution warehouse;a sliding unit connected to the movable rail and sliding along the movable rail;a rotation unit rotatably connected to the lower side of the sliding unit;a tilting unit connected to and installed at a lower side of the rotation unit so as to be tiltable; And a photographing unit installed at the front end of the tilting unit, photographing a surrounding image, generating image information, and transmitting the image information to the smart logistics server; including, the sliding unit is installed connected to one side of the moving rail a first wheel-type gear that rotates and moves along one side of the movable rail in the forward and backward directions;a second wheel-type gear connected to the other side of the movable rail and moving while rotating in a forward and backward direction along the other side of the movable rail; And a unit installation frame to which the first wheel-type gear is connected to one side, the second wheel-type gear is connected to the other side, and the rotation unit is installed to the lower side; includes, the moving rail, the logistics A rail body portion extending along the upper side of the warehouse;A first wheel-shaped gear extending in the longitudinal direction along one side of the rail body so that the first wheel-shaped gear can be seated, and forming a gear mountain along the bottom surface to engage with the gear mountain of the first wheel-shaped gear. sliding groove;A second wheel-shaped gear extending in the longitudinal direction along the other side of the rail body so that the second wheel-shaped gear can be seated, and forming a gear mountain along the bottom surface to engage with the gear mountain of the second wheel-shaped gear. sliding groove;It is installed along the inner side of the upper part of the rail body, and the lower outward surface is exposed to the upper side of the first sliding groove and is in close contact with the upper side of the first wheel gear seated in the first sliding groove, and the first wheel a first rotation guidance belt which forms a gear mountain along an outward surface so as to be engaged with the gear mountain of the type gear, and is rotated in a forward or reverse direction to rotate the first wheel-type gear; And it is installed along the inner side of the upper part of the rail body, the lower outward surface is exposed to the upper side of the second sliding groove and is in close contact with the upper side of the second wheel gear seated in the second sliding groove, and the second A second rotation guide belt forming a gear mountain along an outward surface so as to be engaged with the gear mountain of the wheel gear and rotating in a forward or reverse direction to rotate the second wheel gear; The portion is formed to extend in the longitudinal direction, the first rotation guide belt is installed along the inner side of one side, the upper body to which the second rotation guide belt is installed along the inner side of the other side;a lower body facing the upper body and spaced downward from the upper body;an intermediate body extending from the lower end of the upper body in a lower right angle direction, seated along the upper end of the lower body, and having the first sliding groove formed on one side and the second sliding groove formed on the other side; and a plurality of spacing control units installed at regular intervals along the inside of the middle body and adjusting a spacing between the upper body and the lower body while supporting the lower body. The control unit may include an inner housing extending upward and downward along the inner side of the intermediate body while forming a closed internal space; an intermediate plate formed in a flat plate shape corresponding to the cross section of the inner space of the inner housing and disposed in the middle of the inner space of the inner housing; an upper support spring installed on an upper side of the inner space of the inner housing to support an upper side of the middle plate; a lower support spring installed on the lower side of the inner space of the inner housing to support the lower side of the middle plate; a mounting frame installed upright on the lower side of the middle plate, the lower end of which is exposed to the lower side of the middle body, and then installed on the upper end of the lower body to support the lower body; and supplying fluid to the upper side of the inner space of the inner housing where the upper support spring is installed to lower the stop plate, or recovering the fluid supplied to the upper side of the inner space of the inner housing where the upper support spring is installed. A big data-based smart distribution logistics system comprising a; height control pump that raises the stopping plate.</t>
  </si>
  <si>
    <t>2022-12-23</t>
  </si>
  <si>
    <t>2042-11-22</t>
  </si>
  <si>
    <t>The embodiment of the invention claims a data transmission method and system in the universe applied to the universe server wherein the method comprises: obtaining the avatar identification information of the metaverse and/or the object identification information of the universe object; according to the avatar identification information and/or object identification information adding the meta-universe and/or the universe object to the communication group; according to the data transmission mode of the data object to be transmitted transmitting the data object between the meta-space object and/or the universe object in the communication group. The embodiment of the invention adds the meta-universe and/or the universe object to be transmitted data to the communication group so as to transmit the data object in the communication group according to the data transmission mode of the data object. when transmitting the data object avoiding the intervention of the universe client end reducing the resource occupying amount of the universe client end reducing the hardware requirement of the user computer.</t>
  </si>
  <si>
    <t>Data transmission method in the universe, system, electronic device and storage medium</t>
  </si>
  <si>
    <t>CN202211468235A</t>
  </si>
  <si>
    <t>1. A data transmission method in the universe universe, wherein it is applied to the universe server, the method comprises: obtaining the avatar identification information of the metaverse and/or the object identification information of the universe object; according to the avatar identification information and/or the object identification information, adding the meta-universe and/or the meta-space object to the communication group; according to the data transmission mode of the data object to be transmitted, transmitting the data object between the meta-space object and/or the meta-space object in the communication group.</t>
  </si>
  <si>
    <t>1. A data transmission method in the universe universe, wherein it is applied to the universe server, the method comprises: obtaining the avatar identification information of the metaverse and/or the object identification information of the universe object; according to the avatar identification information and/or the object identification information, adding the meta-universe and/or the meta-space object to the communication group; according to the data transmission mode of the data object to be transmitted, transmitting the data object between the meta-space object and/or the meta-space object in the communication group.2. The method according to claim 1, wherein the data object is transmitted between the meta-space object and/or the meta-space object in the communication group according to the data transmission mode of the data object to be transmitted, the method comprises: transmitting the data object to the meta-space object in the communication group, according to the data transmission mode, transmitting the data object from all parties of the data object to the receiver of the data object in the communication group; wherein all the parties are the meta-universe objects or the meta-universe objects; the receiving party is the meta-universe or the meta-universe object.3. The method according to claim 2, wherein the step of transmitting the data object from all the parties of the data object to the receiver of the data object in the communication group according to the data transmission mode comprises: transmitting the data object to the receiver of the data object in the communication group according to the data transmission mode, when the data transmission mode is transfer, transmitting the data object from all the parties to the receiving party in the communication group, and deleting the data object from all the parties; wherein the attribute of the data object is editing attribute.4. The method according to claim 2, wherein, according to the data transmission mode, transmitting the data object from all parties of the data object to the receiver of the data object in the communication group, comprising: when the data transmission mode is shared, obtaining a copy object of the data object from the ownership in the communication group, and transmitting the copy object to the receiver; wherein the copy object comprises the storage information of the data object, the attribute of the copy object is read-only attribute.5. The method according to claim 2, wherein, according to the data transmission mode, transmitting the data object from all parties of the data object to the receiver of the data object in the communication group, comprising: when the data transmission mode is distribution, obtaining copy object of multiple data objects from all the parties in the communication group, and transmitting the copy object to the receiver; wherein the copy object comprises the storage information of the data object or the data object, the attribute of the copy object is editing attribute.6. The method according to claim 1, wherein after the step of adding the meta-space body and/or the meta-space object to the communication group according to the avatar identification information and/or the object identification information, the method further comprises: selecting a target universe object and/or a target universe object from the meta-universe and/or the meta-universe object; determining the target universe and/or the target universe object as a data transmission relay agent, the data transmission relay agent is used for when receiving the first target data object of which the attribute is forwarded in the group, forwarding the first target data object to other meta-universe objects in the communication group and/or other meta-space objects.7. The method according to claim 6, wherein according to the avatar identification information and/or the object identification information, adding the meta-universe and/or the meta-space object to the communication group, comprising: according to the avatar identification information and/or the object identification information, adding the meta-universe and/or the meta-space object to one or more of the communication group; the data transmission relay agent is further used for transmitting the second target data object to other meta-universe objects and/or other meta-space objects among the plurality of communication groups when receiving the second target data object of which the attribute is forwarded among groups.8. The data transmission system in the universe, wherein it is applied to the universe server, the system comprises: an identification obtaining module, for obtaining the avatar identification information of the universe and/or object identification information of the universe object; a group adding module, used for according to the avatar identification information and/or the object identification information, the universe and/or the universe object is added to the communication group, a data transmission module, used for according to the data transmission mode of the data object to be transmitted, transmitting the data object between the meta-space object and/or the meta-space object in the communication group.9. An electronic device, comprising a processor, a memory and a computer program stored on the memory and capable of running on the processor, wherein the computer program is executed by the processor to implement the data transmission method in the universe according to any one of claims 1 to 1 to 7.10. A computer readable storage medium, wherein it is stored with a computer program, the program is executed by a processor to implement the data transmission method in the universe according to any one of claims 1 to 1 to 7.</t>
  </si>
  <si>
    <t>H04L06714600</t>
  </si>
  <si>
    <t>H04L06714600 | H04L06712000 | H04L06755000</t>
  </si>
  <si>
    <t>CN115514803A</t>
  </si>
  <si>
    <t>CN115514803 A</t>
  </si>
  <si>
    <t>I-000233621679</t>
  </si>
  <si>
    <t>20 years from 2022-11-22 (file date)</t>
  </si>
  <si>
    <t>https://patentscout.innography.com/share/Yjq3rWy5w7qolr4MMScZGQ%3D%3D</t>
  </si>
  <si>
    <t>https://patentscout.innography.com/share/Yjq3rWy5w7qolr4MMScZGQ%3D%3D/download</t>
  </si>
  <si>
    <t>https://v3.espacenet.com/publicationDetails/biblio?CC=CN&amp;NR=115514803A&amp;KC=A&amp;FT=D&amp;date=20221223&amp;DB=EPODOC&amp;locale=</t>
  </si>
  <si>
    <t>1.  1.  A data transmission method in the universe universe, wherein it is applied to the universe server, the method comprises: obtaining the avatar identification information of the metaverse and/or the object identification information of the universe object; according to the avatar identification information and/or the object identification information, adding the meta-universe and/or the meta-space object to the communication group; according to the data transmission mode of the data object to be transmitted, transmitting the data object between the meta-space object and/or the meta-space object in the communication group.</t>
  </si>
  <si>
    <t>8.  8.  The data transmission system in the universe, wherein it is applied to the universe server, the system comprises: an identification obtaining module, for obtaining the avatar identification information of the universe and/or object identification information of the universe object; a group adding module, used for according to the avatar identification information and/or the object identification information, the universe and/or the universe object is added to the communication group, a data transmission module, used for according to the data transmission mode of the data object to be transmitted, transmitting the data object between the meta-space object and/or the meta-space object in the communication group.</t>
  </si>
  <si>
    <t>2022-11-11</t>
  </si>
  <si>
    <t>2022-08-24</t>
  </si>
  <si>
    <t>2042-08-24</t>
  </si>
  <si>
    <t>The invention claims a universe object material constructing method and device based on VR technology relating to the virtual reality technology field. The method comprises: obtaining the analogue signal representing the material information of the real object by using the bionic touch sensor; collecting the analogue signal the analogue signal is quantized into digital signal needed by virtual object material blank in the universe; using the digital signal as the material parameter of the virtual object writing the virtual model in the meta-universe finishing the construction of the metaverse object material. The invention relies on the bionic tactile sensor to directly apply the real object material to the parameter construction of the virtual object increasing the flexibility of the virtual model construction.</t>
  </si>
  <si>
    <t>Method and device for constructing universe object material based on vr technology</t>
  </si>
  <si>
    <t>CN202211022359A</t>
  </si>
  <si>
    <t>1. A universe object material construction method based on VR technology, wherein it comprises the following steps: obtaining the analogue signal representing the material information of the real object by using the bionic touch sensor; collecting the analogue signal, the analogue signal is quantized into digital signal needed by virtual object material blank space in the universe; taking the digital signal as the material parameter of the virtual object, writing the virtual model in the meta-space, finishing construction of the meta-space object material.</t>
  </si>
  <si>
    <t>1. A universe object material construction method based on VR technology, wherein it comprises the following steps: obtaining the analogue signal representing the material information of the real object by using the bionic touch sensor; collecting the analogue signal, the analogue signal is quantized into digital signal needed by virtual object material blank space in the universe; taking the digital signal as the material parameter of the virtual object, writing the virtual model in the meta-space, finishing construction of the meta-space object material.2. The meta-space object material construction method based on VR technology according to claim 1, wherein the using the bionic tactile sensor to obtain the real object material information of the analogue signal, comprising: using the bionic touch sensor to obtain the hardness information and the heat conduction information of the real object; according to the hardness information and thermal conduction information, generating the corresponding analogue signal.3. The meta-space object material construction method based on VR technology according to claim 1, wherein before collecting the analogue signal, further comprising: amplifying and reducing noise for the analogue signal.4. The meta-space object material construction method based on VR technology according to claim 1, wherein the virtual object of the blank material is specifically as follows: building the structure shape, but lack of virtual object material parameter.5. The meta-space object material construction method based on VR technology according to claim 1, wherein the digital signal is written into the virtual model in the meta-space through the modelling software, wherein the modelling software comprises the software.6. The meta-space object material constructing method based on VR technology according to claim 5, wherein the step of writing the digital signal into the virtual model in the universe by the modelling software further comprises: using the software to initialize a virtual model containing the blank of the virtual object; through the serial port protocol, the material parameter of the virtual object is written into the virtual model to obtain the updated virtual model.7. A universe object material constructing device based on VR technology, wherein it comprises: a bionic tactile sensor, for obtaining the simulation signal representing the real object material information; a signal collecting and quantifying module for collecting the analogue signal, quantifying the analogue signal into digital signal needed by virtual object material blank in the universe; a display module, used for taking the digital signal as the material parameter of the virtual object, writing the virtual model in the meta-universe, finishing construction of the metaverse object material.8. An electronic device, comprising: one or more processors; a storage device for storing one or more programs, wherein when the one or more programs are executed by the one or more processors, so that the one or more processors perform the method according to any one of claims 1 to 6.9. A computer-readable storage medium having stored thereon executable instructions, the instructions causing the processor to perform the method according to any one of claims 1 to 6 when executed by a processor.10. A computer program product, comprising a computer program, when the computer program is executed by a processor, the method according to any one of claims 1 to 6 is realized.</t>
  </si>
  <si>
    <t>G06F00301000 | A63F01328500 | G06T01920000</t>
  </si>
  <si>
    <t>CN115328316A</t>
  </si>
  <si>
    <t>CN115328316 A</t>
  </si>
  <si>
    <t>I-000232054512</t>
  </si>
  <si>
    <t>20 years from 2022-08-24 (file date)</t>
  </si>
  <si>
    <t>https://patentscout.innography.com/share/_kyMwvVWm_b3H-30fkbyDQ%3D%3D</t>
  </si>
  <si>
    <t>2022-11-11-PUBLICATION|2022-11-29-ENTRY INTO FORCE OF REQUEST FOR SUBSTANTIVE EXAMINATION</t>
  </si>
  <si>
    <t>https://patentscout.innography.com/share/_kyMwvVWm_b3H-30fkbyDQ%3D%3D/download</t>
  </si>
  <si>
    <t>https://v3.espacenet.com/publicationDetails/biblio?CC=CN&amp;NR=115328316A&amp;KC=A&amp;FT=D&amp;date=20221111&amp;DB=EPODOC&amp;locale=</t>
  </si>
  <si>
    <t>1.  1.  A universe object material construction method based on VR technology, wherein it comprises the following steps: obtaining the analogue signal representing the material information of the real object by using the bionic touch sensor; collecting the analogue signal, the analogue signal is quantized into digital signal needed by virtual object material blank space in the universe; taking the digital signal as the material parameter of the virtual object, writing the virtual model in the meta-space, finishing construction of the meta-space object material.</t>
  </si>
  <si>
    <t>7.  7.  A universe object material constructing device based on VR technology, wherein it comprises: a bionic tactile sensor, for obtaining the simulation signal representing the real object material information; a signal collecting and quantifying module for collecting the analogue signal, quantifying the analogue signal into digital signal needed by virtual object material blank in the universe; a display module, used for taking the digital signal as the material parameter of the virtual object, writing the virtual model in the meta-universe, finishing construction of the metaverse object material.</t>
  </si>
  <si>
    <t>CN109557998 A | US11226722 B2</t>
  </si>
  <si>
    <t>2017-07-04</t>
  </si>
  <si>
    <t>2020-04-21</t>
  </si>
  <si>
    <t>2015-12-28</t>
  </si>
  <si>
    <t>2016-12-28</t>
  </si>
  <si>
    <t>2036-12-27</t>
  </si>
  <si>
    <t>2017-06-29</t>
  </si>
  <si>
    <t>A virtual reality device and a virtual reality method. The virtual reality method comprises the following steps: sensing a dragging action of a virtual reality controller in a period of triggering a trigger of the virtual reality controller; and displaying a plurality of icons of a tool menu in a virtual reality environment corresponding to a dragging path of the dragging action of the virtual reality controller. Therefore the display positions of the icons of the tool menu can be determined arbitrarily.</t>
  </si>
  <si>
    <t>virtual reality|reality|tool menu</t>
  </si>
  <si>
    <t>CN201611237140A</t>
  </si>
  <si>
    <t xml:space="preserve">A metaverse method, comprising:sensing a dragging action of a virtual reality controller in a period of triggering a trigger of the virtual reality controller;displaying a plurality of icons of a tool menu in a virtual reality environment corresponding to a dragging path of the dragging action of the virtual reality controller;displaying a shortcut establishment button corresponding to one of the icons of the tool menu;sensing a braking action of the virtual reality controller on the shortcut establishment button; andand displaying a three-dimensional object or an application icon corresponding to the icon in the tool menu in a virtual reality space corresponding to the braking action on the shortcut establishing button.
</t>
  </si>
  <si>
    <t>1. A metaverse method, comprising:sensing a dragging action of a virtual reality controller in a period of triggering a trigger of the virtual reality controller;displaying a plurality of icons of a tool menu in a virtual reality environment corresponding to a dragging path of the dragging action of the virtual reality controller;displaying a shortcut establishment button corresponding to one of the icons of the tool menu;sensing a braking action of the virtual reality controller on the shortcut establishment button; andand displaying a three-dimensional object or an application icon corresponding to the icon in the tool menu in a virtual reality space corresponding to the braking action on the shortcut establishing button.
2. The metaverse method of claim 1, wherein the three-dimensional object or the application icon moves in response to the metaverse controller, and further comprising:sensing a positioning action of the virtual reality controller corresponding to a position; andand placing the three-dimensional object or the application program icon at the position in the virtual reality space corresponding to the positioning action.
3. The metaverse method of claim 1, wherein when all of the icons of the tool menu are displayed during the period of time that the trigger of the metaverse controller is triggered, the icons of the tool menu are all displayed substantially along the dragging path of the dragging operation of the metaverse controller.
4. A metaverse method, comprising:sensing a dragging action of a virtual reality controller in a triggering period; anddisplaying a plurality of icons of a tool menu in a virtual reality environment corresponding to a dragging path of the dragging action of the virtual reality controller;wherein the trigger of the metaverse controller is stopped before all of the icons of the tool menu are displayed, and if a number of displayed ones of the icons is greater than a prediction threshold, the remaining ones of the icons are displayed according to a vector pointing from a next-to-last one of the displayed ones of the icons to a latest one of the displayed ones of the icons.
5. The metaverse method of claim 4, wherein triggering the trigger of the metaverse controller is stopped before all of the icons of the tool menu are displayed, and a number of displayed ones of the icons is less than or equal to a prediction threshold, and wherein the displayed ones of the icons are scaled down until disappearing.
6. A metaverse method, comprising:sensing a dragging action of a virtual reality controller in a triggering period;displaying a plurality of icons of a tool menu in a virtual reality environment corresponding to a dragging path of the dragging action of the virtual reality controller;determining a plurality of bounce positions of the plurality of icons of the tool menu; andpushing the icons of the tool menu towards the bounce positions.
7. The metaverse method of claim 6, wherein a pitch of the primitive locations of the icons is greater than a pitch of the bounce locations, and the primitive locations are locations of the icons before being pushed toward the bounce locations.
8. A metaverse method, comprising:sensing a dragging action of a virtual reality controller in a triggering period;displaying a plurality of icons of a tool menu in a virtual reality environment corresponding to a dragging path of the dragging action of the virtual reality controller; anddisplaying a shortcut button corresponding to one of the icons of the tool menu, wherein the shortcut button enables a user to use a feature function corresponding to the one of the icons without opening a tool corresponding to the one of the icons.
9. The metaverse method of claim 8, further comprising:sensing a position of a virtual reality display device; andand displaying an arc menu corresponding to the position of the virtual reality display device.
10. The metaverse method of claim 9, further comprising:sensing an adjustment action of the virtual reality controller; andadjusting a position of the arc menu corresponding to the adjusting action of the metaverse controller.
11. The metaverse method of claim 8, further comprising:sensing an action of adding an icon in the icons of the tool menu;displaying an item picker, wherein the item picker presents a plurality of items;sensing an actuation motion corresponding to one of the plurality of items in the item picker; andand adding a shortcut of the one of the plurality of items to the tool menu as an added icon.
12. A metaverse device, comprising:one or more processing elements;a memory electrically connected to the one or more processing elements; andone or more programs stored in the memory and configured to be executed by the one or more processing elements, the one or more programs including instructions for:sensing a dragging action of a virtual reality controller in a period of triggering a trigger of the virtual reality controller;controlling a virtual reality display to display a plurality of icons of a tool menu in a virtual reality environment corresponding to a dragging path of the dragging action of the virtual reality controller;controlling the virtual reality display to display a shortcut establishment button corresponding to one of the icons of the tool menu;sensing a braking action of the virtual reality controller on the shortcut establishment button; andand controlling the virtual reality display to display a three-dimensional object or an application icon corresponding to the one of the icons of the tool menu in a virtual reality space corresponding to the braking action on the shortcut establishment button.
13. The metaverse device of claim 12, wherein the three-dimensional object or the application icon moves in response to the metaverse controller, and the one or more programs further include instructions to:sensing a positioning action of the virtual reality controller corresponding to a position; andand placing the three-dimensional object or the application program icon at the position in the virtual reality space corresponding to the positioning action.
14. The metaverse device of claim 12, wherein all of the icons of the tool menu are displayed substantially along the dragging path of the dragging action of the metaverse controller during the period of the trigger triggering the metaverse controller.
15. A metaverse device, comprising:one or more processing elements;a memory electrically connected to the one or more processing elements; andone or more programs stored in the memory and configured to be executed by the one or more processing elements, the one or more programs including instructions for:sensing a dragging action of a virtual reality controller in a period of triggering a trigger of the virtual reality controller; andcontrolling a virtual reality display to display a plurality of icons of a tool menu in a virtual reality environment corresponding to a dragging path of the dragging action of the virtual reality controller;wherein the trigger of the metaverse controller is stopped before all of the icons of the tool menu are displayed, and if a number of displayed ones of the icons is greater than a prediction threshold, the remaining ones of the icons are displayed according to a vector pointing from a next-to-last one of the displayed ones of the icons to a latest one of the displayed ones of the icons.
16. The metaverse device of claim 15, wherein the trigger of the metaverse controller is disabled before all of the icons of the tool menu are displayed, and a number of displayed ones of the icons is less than or equal to a prediction threshold, and wherein the displayed ones of the icons are scaled down until disappearing.
17. A metaverse device, comprising:one or more processing elements;a memory electrically connected to the one or more processing elements; andone or more programs stored in the memory and configured to be executed by the one or more processing elements, the one or more programs including instructions for:sensing a dragging action of a virtual reality controller in a period of triggering a trigger of the virtual reality controller;controlling a virtual reality display to display a plurality of icons of a tool menu in a virtual reality environment corresponding to a dragging path of the dragging action of the virtual reality controller;determining a plurality of bounce positions of the plurality of icons of the tool menu; andpushing the icons of the tool menu towards the bounce positions.
18. The metaverse device of claim 17, wherein a pitch of a plurality of home positions of the plurality of icons is greater than a pitch of the plurality of bounce positions, and wherein the plurality of home positions are a plurality of positions of the plurality of icons before being pushed toward the plurality of bounce positions.
19. A metaverse device, comprising:one or more processing elements;a memory electrically connected to the one or more processing elements; andone or more programs stored in the memory and configured to be executed by the one or more processing elements, the one or more programs including instructions for:sensing a dragging action of a virtual reality controller in a period of triggering a trigger of the virtual reality controller;controlling a virtual reality display to display a plurality of icons of a tool menu in a virtual reality environment corresponding to a dragging path of the dragging action of the virtual reality controller; andcontrolling the metaverse display to display a shortcut button corresponding to one of the icons of the tool menu, wherein the shortcut button enables a user to use a feature function corresponding to the one of the icons without opening a tool corresponding to the one of the icons.
20. The metaverse device of claim 19, wherein the one or more programs further comprise instructions to:sensing a position of a virtual reality display device; andand controlling the virtual reality display to display an arc menu corresponding to the position of the virtual reality display device.
21. The metaverse device of claim 20, wherein the one or more programs further comprise instructions to:sensing an adjustment action of the virtual reality controller; andadjusting a position of the arc menu corresponding to the adjusting action of the metaverse controller.
22. The metaverse device of claim 19, wherein the one or more programs further comprise instructions to:sensing an action of adding an icon in the icons of the tool menu;controlling the metaverse display to display an item picker, wherein the item picker presents a plurality of items;sensing an actuation motion corresponding to one of the plurality of items in the item picker; andand adding a shortcut of the one of the plurality of items to the tool menu as an added icon.</t>
  </si>
  <si>
    <t>Perez, Elbert Stephen|Quay, Richard Herbert|Harrington, Dennis Todd|Wilday, Daniel Jeffrey|Vierregger, Weston Page|Brinda, David|Hunt, Andrew Charles|Lamparty, Jason Leopold|Espinosa, William Brian|Faunce, Jonathan D</t>
  </si>
  <si>
    <t>CN106919270 A</t>
  </si>
  <si>
    <t>G06F0003034600</t>
  </si>
  <si>
    <t>G06F0003034600 | G06F0003048150 | G06F0003016000 | G06F0003048100 | G06F2203012000 | G06F0003048170 | G06F0003048450</t>
  </si>
  <si>
    <t>G06F00303460</t>
  </si>
  <si>
    <t>G06F00303460 | G06F00301000 | G06F00304810</t>
  </si>
  <si>
    <t>US20170185261A1|CN106919270A|TW201723794A|TWI623877B|TW201826105A|TWI665599B|CN106919270B</t>
  </si>
  <si>
    <t>US20170185261 A1 | US20170214782 A1 | CN106997241 A | CN106919270 A | US20170300110 A1 | TW201723794 A | TW201732501 A | TWI623877 B | TW201826105 A | TWI665599 B | US10477006 B2 | US10521008 B2 | CN106919270 B | CN106997241 B | TWI688879 B</t>
  </si>
  <si>
    <t>I-000157589368</t>
  </si>
  <si>
    <t>20 years from 2016-12-27 (the day prior to the file date)</t>
  </si>
  <si>
    <t>https://patentscout.innography.com/share/bJPjMehQ-F-UO0CsPpnPQg%3D%3D</t>
  </si>
  <si>
    <t>2017-07-04-PUBLICATION|2017-07-28-ENTRY INTO FORCE OF REQUEST FOR SUBSTANTIVE EXAMINATION|2020-04-21-PATENT GRANT</t>
  </si>
  <si>
    <t>https://patentscout.innography.com/share/bJPjMehQ-F-UO0CsPpnPQg%3D%3D/download</t>
  </si>
  <si>
    <t>https://v3.espacenet.com/publicationDetails/biblio?CC=CN&amp;NR=106919270B&amp;KC=B&amp;FT=D&amp;date=20200421&amp;DB=EPODOC&amp;locale=</t>
  </si>
  <si>
    <t>US20170185261 A1</t>
  </si>
  <si>
    <t>1. A metaverse method, comprising:sensing a dragging action of a virtual reality controller in a period of triggering a trigger of the virtual reality controller;displaying a plurality of icons of a tool menu in a virtual reality environment corresponding to a dragging path of the dragging action of the virtual reality controller;displaying a shortcut establishment button corresponding to one of the icons of the tool menu;sensing a braking action of the virtual reality controller on the shortcut establishment button; andand displaying a three-dimensional object or an application icon corresponding to the icon in the tool menu in a virtual reality space corresponding to the braking action on the shortcut establishing button.</t>
  </si>
  <si>
    <t>4. A metaverse method, comprising:sensing a dragging action of a virtual reality controller in a triggering period; anddisplaying a plurality of icons of a tool menu in a virtual reality environment corresponding to a dragging path of the dragging action of the virtual reality controller;wherein the trigger of the metaverse controller is stopped before all of the icons of the tool menu are displayed, and if a number of displayed ones of the icons is greater than a prediction threshold, the remaining ones of the icons are displayed according to a vector pointing from a next-to-last one of the displayed ones of the icons to a latest one of the displayed ones of the icons.</t>
  </si>
  <si>
    <t>6. A metaverse method, comprising:sensing a dragging action of a virtual reality controller in a triggering period;displaying a plurality of icons of a tool menu in a virtual reality environment corresponding to a dragging path of the dragging action of the virtual reality controller;determining a plurality of bounce positions of the plurality of icons of the tool menu; andpushing the icons of the tool menu towards the bounce positions.</t>
  </si>
  <si>
    <t>8. A metaverse method, comprising:sensing a dragging action of a virtual reality controller in a triggering period;displaying a plurality of icons of a tool menu in a virtual reality environment corresponding to a dragging path of the dragging action of the virtual reality controller; anddisplaying a shortcut button corresponding to one of the icons of the tool menu, wherein the shortcut button enables a user to use a feature function corresponding to the one of the icons without opening a tool corresponding to the one of the icons.</t>
  </si>
  <si>
    <t>12. A metaverse device, comprising:one or more processing elements;a memory electrically connected to the one or more processing elements; andone or more programs stored in the memory and configured to be executed by the one or more processing elements, the one or more programs including instructions for:sensing a dragging action of a virtual reality controller in a period of triggering a trigger of the virtual reality controller;controlling a virtual reality display to display a plurality of icons of a tool menu in a virtual reality environment corresponding to a dragging path of the dragging action of the virtual reality controller;controlling the virtual reality display to display a shortcut establishment button corresponding to one of the icons of the tool menu;sensing a braking action of the virtual reality controller on the shortcut establishment button; andand controlling the virtual reality display to display a three-dimensional object or an application icon corresponding to the one of the icons of the tool menu in a virtual reality space corresponding to the braking action on the shortcut establishment button.</t>
  </si>
  <si>
    <t>15. A metaverse device, comprising:one or more processing elements;a memory electrically connected to the one or more processing elements; andone or more programs stored in the memory and configured to be executed by the one or more processing elements, the one or more programs including instructions for:sensing a dragging action of a virtual reality controller in a period of triggering a trigger of the virtual reality controller; andcontrolling a virtual reality display to display a plurality of icons of a tool menu in a virtual reality environment corresponding to a dragging path of the dragging action of the virtual reality controller;wherein the trigger of the metaverse controller is stopped before all of the icons of the tool menu are displayed, and if a number of displayed ones of the icons is greater than a prediction threshold, the remaining ones of the icons are displayed according to a vector pointing from a next-to-last one of the displayed ones of the icons to a latest one of the displayed ones of the icons.</t>
  </si>
  <si>
    <t>17. A metaverse device, comprising:one or more processing elements;a memory electrically connected to the one or more processing elements; andone or more programs stored in the memory and configured to be executed by the one or more processing elements, the one or more programs including instructions for:sensing a dragging action of a virtual reality controller in a period of triggering a trigger of the virtual reality controller;controlling a virtual reality display to display a plurality of icons of a tool menu in a virtual reality environment corresponding to a dragging path of the dragging action of the virtual reality controller;determining a plurality of bounce positions of the plurality of icons of the tool menu; andpushing the icons of the tool menu towards the bounce positions.</t>
  </si>
  <si>
    <t>19. A metaverse device, comprising:one or more processing elements;a memory electrically connected to the one or more processing elements; andone or more programs stored in the memory and configured to be executed by the one or more processing elements, the one or more programs including instructions for:sensing a dragging action of a virtual reality controller in a period of triggering a trigger of the virtual reality controller;controlling a virtual reality display to display a plurality of icons of a tool menu in a virtual reality environment corresponding to a dragging path of the dragging action of the virtual reality controller; andcontrolling the metaverse display to display a shortcut button corresponding to one of the icons of the tool menu, wherein the shortcut button enables a user to use a feature function corresponding to the one of the icons without opening a tool corresponding to the one of the icons.</t>
  </si>
  <si>
    <t>US20210037195 A1</t>
  </si>
  <si>
    <t>2022-11-10</t>
  </si>
  <si>
    <t>2016-04-01</t>
  </si>
  <si>
    <t>2037-03-27</t>
  </si>
  <si>
    <t>Systems and methods are disclosed for generating a user behavioral avatar. A method may include receiving a request to generate an avatar that performs actions on behalf of a user on a social media platform; identifying a plurality of historical user actions manually taken by the user on the social media platform; generating based on the plurality of historical user actions an action profile that represents user tendencies for executing available actions on the social media platform; identifying a plurality of data items in a retrieved backup of at least one computing device associated with the user; classifying the plurality of data items into a plurality of topics; training and executing the avatar to detect in the social media platform a social media item that shares at least one topic of the plurality of topics from the backup and perform a user action in accordance with the action profile.</t>
  </si>
  <si>
    <t>System and method for generating a user behavioral avatar for a social media platform</t>
  </si>
  <si>
    <t>social media|social|topic</t>
  </si>
  <si>
    <t>Acronis International Gmbh</t>
  </si>
  <si>
    <t>Acronis International GmbH</t>
  </si>
  <si>
    <t>US17/872076</t>
  </si>
  <si>
    <t xml:space="preserve">A method for generating a user behavioral avatar for a user based on backup of personalized user data, the method comprising:
receiving a request to generate an avatar that performs actions on behalf of a user on a social media platform;
identifying a plurality of historical user actions manually taken by the user on the social media platform;
generating, based on the plurality of historical user actions, an action profile that represents user tendencies for executing available actions on the social media platform;
retrieving a backup of at least one computing device associated with the user, wherein the backup comprises information from at least one data source that is not the social media platform;
identifying a plurality of data items in the backup;
classifying the plurality of data items into a plurality of topics;
training the avatar to detect, in the social media platform, a social media item that shares at least one topic of the plurality of topics from the backup and perform a user action in accordance with the action profile; and
executing the trained avatar to perform actions on behalf of the user on the social media platform.
</t>
  </si>
  <si>
    <t>1. A method for generating a user behavioral avatar for a user based on backup of personalized user data, the method comprising:
receiving a request to generate an avatar that performs actions on behalf of a user on a social media platform;
identifying a plurality of historical user actions manually taken by the user on the social media platform;
generating, based on the plurality of historical user actions, an action profile that represents user tendencies for executing available actions on the social media platform;
retrieving a backup of at least one computing device associated with the user, wherein the backup comprises information from at least one data source that is not the social media platform;
identifying a plurality of data items in the backup;
classifying the plurality of data items into a plurality of topics;
training the avatar to detect, in the social media platform, a social media item that shares at least one topic of the plurality of topics from the backup and perform a user action in accordance with the action profile; and
executing the trained avatar to perform actions on behalf of the user on the social media platform.
2. The method of claim 1, wherein the social media platform is a metaverse-based application, and wherein the trained avatar performs actions on behalf of the user when the user is not manually accessing the metaverse-based application.
3. The method of claim 1, wherein generating the action profile comprises:
identifying a plurality of available user actions on the social media platform;
identifying a plurality of content types on which the plurality of available user actions can be executed;
for each respective user action of the plurality of available user actions and each respective content type of the plurality of content types:
determining a likelihood of the respective content type appearing on the social media platform;
determining an amount of times the user executed the respective user action on the respective content type; and
storing the likelihood and the amount of times in the action profile.
4. The method of claim 1, wherein classifying the plurality of data items into the plurality of topics further comprises ranking the plurality of topics based on a frequency of appearance in the backup, and wherein training the avatar further comprises weighting high-ranked topics higher than low-ranked topics such that the avatar has a greater likelihood of performing an available user action on the social media platform for the high-ranked topics than the low-ranked topics.
5. The method of claim 4, wherein the backup is a first backup, further comprising:
retrieving a second backup that is more recently generated than the first backup;
identifying another plurality of data items in the second backup;
classifying the another plurality of data items into another plurality of topics;
weighting topics for the avatar such that the another plurality of topics are weighted higher than the plurality of topics.
6. The method of claim 1, wherein the at least one data source is an email database, an application database, a documents database, or a media database.
7. The method of claim 1, wherein a data item is a photo, and wherein classifying the data item into a topic comprises:
detecting an object in the photo; and
classifying the object into a first topic.
8. The method of claim 1, wherein a data item is a transaction confirmation document, and wherein classifying the data item into a topic comprises:
identifying an asset that is part of the transaction confirmation document; and
classifying the asset into a first topic.
9. The method of claim 1, wherein an available user action is posting media, commenting on a post, liking a post, disliking a post, following another user, unfollowing the another user, making a transaction, or subscribing to a channel.
10. The method of claim 1, further comprising periodically retrieving a new backup associated with the user, and wherein the trained avatar is re-trained when the new backup is retrieved for analysis.
11. A system for generating a user behavioral avatar for a user based on backup of personalized user data, the system comprising:
a hardware processor configured to:
receive a request to generate an avatar that performs actions on behalf of a user on a social media platform;
identify a plurality of historical user actions manually taken by the user on the social media platform;
generate, based on the plurality of historical user actions, an action profile that represents user tendencies for executing available actions on the social media platform;
retrieve a backup of at least one computing device associated with the user, wherein the backup comprises information from at least one data source that is not the social media platform;
identify a plurality of data items in the backup;
classify the plurality of data items into a plurality of topics;
train the avatar to detect, in the social media platform, a social media item that shares at least one topic of the plurality of topics from the backup and perform a user action in accordance with the action profile; and
execute the trained avatar to perform actions on behalf of the user on the social media platform.
12. The system of claim 11, wherein the social media platform is a metaverse-based application, and wherein the trained avatar performs actions on behalf of the user when the user is not manually accessing the metaverse-based application.
13. The system of claim 11, wherein the hardware processor is configured to generate the action profile by:
identifying a plurality of available user actions on the social media platform;
identifying a plurality of content types on which the plurality of available user actions can be executed;
for each respective user action of the plurality of available user actions and each respective content type of the plurality of content types:
determining a likelihood of the respective content type appearing on the social media platform;
determining an amount of times the user executed the respective user action on the respective content type; and
storing the likelihood and the amount of times in the action profile.
14. The system of claim 11, wherein the hardware processor is configured to classify the plurality of data items into the plurality of topics by ranking the plurality of topics based on a frequency of appearance in the backup, and wherein the hardware processor is configured to train the avatar by weighting high-ranked topics higher than low-ranked topics such that the avatar has a greater likelihood of performing an available user action on the social media platform for the high-ranked topics than the low-ranked topics.
15. The system of claim 14, wherein the backup is a first backup, wherein the hardware processor is configured to:
retrieve a second backup that is more recently generated than the first backup;
identify another plurality of data items in the second backup;
classify the another plurality of data items into another plurality of topics;
weight topics for the avatar such that the another plurality of topics are weighted higher than the plurality of topics.
16. The system of claim 11, wherein the at least one data source is an email database, an application database, a documents database, or a media database.
17. The system of claim 11, wherein a data item is a photo, and wherein the hardware processor is configured to classify the data item into a topic by:
detecting an object in the photo; and
classifying the object into a first topic.
18. The system of claim 11, wherein a data item is a transaction confirmation document, and wherein the hardware processor is configured to classify the data item into a topic by:
identifying an asset that is part of the transaction confirmation document; and
classifying the asset into a first topic.
19. The system of claim 11, wherein an available user action is posting media, commenting on a post, liking a post, disliking a post, following another user, unfollowing the another user, making a transaction, or subscribing to a channel.
20. A non-transitory computer readable medium storing computer executable instructions for generating a user behavioral avatar for a user based on backup of personalized user data, including instructions for:
receiving a request to generate an avatar that performs actions on behalf of a user on a social media platform;
identifying a plurality of historical user actions manually taken by the user on the social media platform;
generating, based on the plurality of historical user actions, an action profile that represents user tendencies for executing available actions on the social media platform;
retrieving a backup of at least one computing device associated with the user, wherein the backup comprises information from at least one data source that is not the social media platform;
identifying a plurality of data items in the backup;
classifying the plurality of data items into a plurality of topics;
training the avatar to detect, in the social media platform, a social media item that shares at least one topic of the plurality of topics from the backup and perform a user action in accordance with the action profile; and
executing the trained avatar to perform actions on behalf of the user on the social media platform.</t>
  </si>
  <si>
    <t>Tormasov, Alexander|Protasov, Stanislav|Bell, Serg</t>
  </si>
  <si>
    <t>G06N0003006000 | G06Q0050010000 | H04L0067306000 | H04L0067535000</t>
  </si>
  <si>
    <t>G06N00300000</t>
  </si>
  <si>
    <t>G06N00300000 | G06Q05000000 | H04L06730600 | H04L06750000</t>
  </si>
  <si>
    <t>US20220358344A1</t>
  </si>
  <si>
    <t>US20170286824 A1 | US20220358344 A1</t>
  </si>
  <si>
    <t>I-000231570641</t>
  </si>
  <si>
    <t>20 years from 2017-03-27 (file date of patent US20170286824)</t>
  </si>
  <si>
    <t>https://patentscout.innography.com/share/Nh-FS8I03rLXJoi7KLaJ3w%3D%3D</t>
  </si>
  <si>
    <t>2022-09-13-INFORMATION ON STATUS: PATENT APPLICATION AND GRANTING PROCEDURE IN GENERAL</t>
  </si>
  <si>
    <t>https://patentscout.innography.com/share/Nh-FS8I03rLXJoi7KLaJ3w%3D%3D/download</t>
  </si>
  <si>
    <t>https://ppubs.uspto.gov/pubwebapp/external.html?q=20220358344.pn.</t>
  </si>
  <si>
    <t>US20220358344 A1</t>
  </si>
  <si>
    <t>US20170286824 A1</t>
  </si>
  <si>
    <t>1. A method for generating a user behavioral avatar for a user based on backup of personalized user data, the method comprising:
receiving a request to generate an avatar that performs actions on behalf of a user on a social media platform;
identifying a plurality of historical user actions manually taken by the user on the social media platform;
generating, based on the plurality of historical user actions, an action profile that represents user tendencies for executing available actions on the social media platform;
retrieving a backup of at least one computing device associated with the user, wherein the backup comprises information from at least one data source that is not the social media platform;
identifying a plurality of data items in the backup;
classifying the plurality of data items into a plurality of topics;
training the avatar to detect, in the social media platform, a social media item that shares at least one topic of the plurality of topics from the backup and perform a user action in accordance with the action profile; and
executing the trained avatar to perform actions on behalf of the user on the social media platform.</t>
  </si>
  <si>
    <t>11. A system for generating a user behavioral avatar for a user based on backup of personalized user data, the system comprising:
a hardware processor configured to:
receive a request to generate an avatar that performs actions on behalf of a user on a social media platform;
identify a plurality of historical user actions manually taken by the user on the social media platform;
generate, based on the plurality of historical user actions, an action profile that represents user tendencies for executing available actions on the social media platform;
retrieve a backup of at least one computing device associated with the user, wherein the backup comprises information from at least one data source that is not the social media platform;
identify a plurality of data items in the backup;
classify the plurality of data items into a plurality of topics;
train the avatar to detect, in the social media platform, a social media item that shares at least one topic of the plurality of topics from the backup and perform a user action in accordance with the action profile; and
execute the trained avatar to perform actions on behalf of the user on the social media platform.</t>
  </si>
  <si>
    <t>20. A non-transitory computer readable medium storing computer executable instructions for generating a user behavioral avatar for a user based on backup of personalized user data, including instructions for:
receiving a request to generate an avatar that performs actions on behalf of a user on a social media platform;
identifying a plurality of historical user actions manually taken by the user on the social media platform;
generating, based on the plurality of historical user actions, an action profile that represents user tendencies for executing available actions on the social media platform;
retrieving a backup of at least one computing device associated with the user, wherein the backup comprises information from at least one data source that is not the social media platform;
identifying a plurality of data items in the backup;
classifying the plurality of data items into a plurality of topics;
training the avatar to detect, in the social media platform, a social media item that shares at least one topic of the plurality of topics from the backup and perform a user action in accordance with the action profile; and
executing the trained avatar to perform actions on behalf of the user on the social media platform.</t>
  </si>
  <si>
    <t>US6545682 B1 | US7025675 B2 | US7173625 B2 | US20060003841 A1 | US20060178217 A1 | US20060178899 A1 | US20060178964 A1 | US20060178965 A1 | US20060190282 A1 | US20060190283 A1 | US20060190284 A1</t>
  </si>
  <si>
    <t>US9818255 B2 | US10350496 B2 | US10926179 B2 | US11007441 B2 | US11138580 B1 | US11141664 B1 | US11167215 B2 | US11207604 B1 | US11219825 B2 | US11260304 B1 | CN112307269 A | US11420119 B2 | US8756304 B2 | US8775595 B2 | US8965803 B2 | US8977566 B2 | US20150190715 A1 | US9314700 B2 | US20150336001 A1 | US20150087422 A1 | US20160279522 A1 | US8348766 B2 | US20120324001 A1 | US8457991 B2 | US8512143 B2 | US8473382 B2 | US8556723 B2 | US8566111 B2 | CN103341266 A | CN102882891 A | US20100323775 A1 | US7890419 B2 | US7917371 B2 | US7937314 B2 | US7958047 B2 | US7991691 B2 | US20110256931 A1 | US8060829 B2 | US8096882 B2 | US20120066306 A1 | US20120135807 A1 | US8271365 B2 | US8285638 B2 | US20090099930 A1 | US20090138333 A1 | US20090198604 A1 | US20100093439 A1 | US20090144148 A1 | US20100223117 A1 | US20100223167 A1 | US20100223191 A1 | US20100312680 A1 | US20060178217 A1 | US20060178975 A1 | US20060178985 A1 | US20060190283 A1 | US20060235790 A1 | US20070013692 A1 | US20070073614 A1 | US20070106576 A1 | US20070143119 A1 | US20070168214 A1 | US20070203817 A1 | US20080092065 A1 | US20080103951 A1 | US20080126234 A1 | US20080177650 A1 | US20090018910 A1 | US20090029779 A1 | US20090043604 A1 | US20090043683 A1</t>
  </si>
  <si>
    <t>2008-06-12</t>
  </si>
  <si>
    <t>2010-04-06</t>
  </si>
  <si>
    <t>Virtual environments in which multiple characters are allowed to form relationships wherein the relationships may provide various benefits as well as obligations are described. Systems and methods for forming monitoring and terminating the relationships are also described.</t>
  </si>
  <si>
    <t>Virtual environment with formalized inter-character relationships</t>
  </si>
  <si>
    <t>US11/694669</t>
  </si>
  <si>
    <t xml:space="preserve">A method comprising:
providing a metaverse accessible by a plurality of players, wherein the players are able to interact with the metaverse and each other via characters;
receiving a request from a first player to create a new character for the metaverse;
identifying one or more pre-existing characters in the metaverse to be the parents of the new character; and
creating the new child character as a child of the parents.
</t>
  </si>
  <si>
    <t>1. A method comprising:
providing a metaverse accessible by a plurality of players, wherein the players are able to interact with the metaverse and each other via characters;
receiving a request from a first player to create a new character for the metaverse;
identifying one or more pre-existing characters in the metaverse to be the parents of the new character; and
creating the new child character as a child of the parents.
2. The method of claim 1 further comprising receiving a request from a character in the metaverse to become a parent.
3. The method of claim 2 further comprising creating an enforceable contract establishing a parent-child relationship between the parent characters and the child character.
4. The method of claim 3 wherein the enforceable contract identifies obligations and benefits associated with the parent-child relationship created between the parent characters and the child character
5. The method of claim 4 further comprising:
monitoring the actions of the parent and child characters and distributing benefits associated with the parent-child relationship, as appropriate.
6. The method of claim 4 further comprising:
monitoring the actions of the parent and child characters and assessing penalties as associated with the parent-child relationship, as appropriate.
7. The method of claim 1 further comprising:
determining if termination conditions have been satisfied; and
terminating the parent-child relationship if termination conditions have been satisfied.
8. The method of claim 7 wherein termination conditions comprise passage of a predetermined amount of time in the metaverse.
9. The method of claim 7 wherein termination conditions comprise the accumulation of a predetermined amount of experience points in the metaverse by the child character.
10. The method of claim 7 wherein termination conditions comprise failure to fulfill the stated obligations by either the parent or child characters.
11. A method comprising:
providing a virtual environment accessible by a plurality of players, wherein the players are able to interact with the virtual environment and each other via characters;
receiving a request from a first player character to enter into a formalized relationship with a second character;
determining if the first player character is qualified to enter into a formalized relationship with a second character; and
creating the formalized relationship between the first player character and the second character.
12. The method of claim 9 wherein creating the formalized relationship between the first player character and the second character comprises identifying benefits that are associated with the formalized relationship and bestowing the benefits upon the first player character.
13. The method of claim 9 wherein creating the formalized relationship between the first player character and the second character comprises identifying obligations that are associated with the formalized relationship and imposing those obligations upon the first player character.
14. The method of claim 11 wherein imposing obligations comprises assessing a penalty if the first player character does not satisfy the imposed obligations.
15. The method of claim 9 further comprising:
receiving a request from the first player character to terminate the relationship;
determining if the first player character is qualified to terminate the relationship; and
terminating the relationship.
16. The method of claim 15 wherein terminating the relationship comprises terminating any benefits that would have been bestowed had the formalized relationship still existed.
17. The method of claim 15 wherein terminating the relationship comprises not assessing any penalties that would have been assessed for failure to meet an obligation had the formalized relationship still existed.
18. The method of claim 11 further comprising;
monitoring the actions of the first player character in the virtual environment;
determining if an action taken by the first player character is inconsistent with the formalized relationship created between the first player character and the second character; and
automatically terminating the formalized relationship if an action taken by the first player character is inconsistent with the formalized relationship.
19. The method of claim 18 wherein an action is inconsistent with a formalized relationship if it is a request to enter into the same type of formalized relationship with a third character.
20. The method of claim 11 further comprising asking the second character if they would like to enter into the formalized relationship.</t>
  </si>
  <si>
    <t>US7690997 B2</t>
  </si>
  <si>
    <t>A63F0013120000 | A63F0013795000 | A63F2300553300</t>
  </si>
  <si>
    <t>US20080139318A1|US7690997B2</t>
  </si>
  <si>
    <t>I-000070509448</t>
  </si>
  <si>
    <t>Application expired due to grant (US7690997 B2)</t>
  </si>
  <si>
    <t>https://patentscout.innography.com/share/6bkj0fbSHjPQO33sEdKeXQ%3D%3D</t>
  </si>
  <si>
    <t>2007-05-04-ASSIGNMENT (LEVIATHAN ENTERTAINMENT)|2013-11-15-MAINTENANCE FEE REMINDER MAILED|2014-01-06-SURCHARGE FOR LATE PAYMENT|2014-01-06-FEE PAYMENT|2017-11-20-FEE PAYMENT PROCEDURE|2018-05-07-LAPSE FOR FAILURE TO PAY MAINTENANCE FEES|2018-05-07-INFORMATION ON STATUS: PATENT DISCONTINUATION|2018-05-29-EXPIRED DUE TO FAILURE TO PAY MAINTENANCE FEE</t>
  </si>
  <si>
    <t>https://patentscout.innography.com/share/6bkj0fbSHjPQO33sEdKeXQ%3D%3D/download</t>
  </si>
  <si>
    <t>https://ppubs.uspto.gov/pubwebapp/external.html?q=20080139318.pn.</t>
  </si>
  <si>
    <t>US20080139318 A1</t>
  </si>
  <si>
    <t>103 | (not available) | CTNF
103 | US10/842489 | CTFR
103 | US11/234847 | CTFR</t>
  </si>
  <si>
    <t>Electronics And Telecommunications Research Institute
Intellectual Ventures Management, LLC</t>
  </si>
  <si>
    <t>2009-10-01</t>
  </si>
  <si>
    <t>2009-04-03</t>
  </si>
  <si>
    <t>1. A method comprising:
providing a metaverse accessible by a plurality of players, wherein the players are able to interact with the metaverse and each other via characters;
receiving a request from a first player to create a new character for the metaverse;
identifying one or more pre-existing characters in the metaverse to be the parents of the new character; and
creating the new child character as a child of the parents.</t>
  </si>
  <si>
    <t>11. A method comprising:
providing a virtual environment accessible by a plurality of players, wherein the players are able to interact with the virtual environment and each other via characters;
receiving a request from a first player character to enter into a formalized relationship with a second character;
determining if the first player character is qualified to enter into a formalized relationship with a second character; and
creating the formalized relationship between the first player character and the second character.</t>
  </si>
  <si>
    <t>The present invention relates to an apparatus for reproducing an experience type ride for a multi-vision real-sense media service and a method thereof. Another embodiment of the present invention may provide the apparatus for reproducing the experience type ride for the multi-vision real-sense media service which includes: a content server which provides real-sense media content and real-sense effect data corresponding to the real-sense media content; a plurality of screen parts for reproducing the real-sense media content; a real-sense device for providing a real-sense effect to a user on the basis of the real-sense effect data; a motion recognition part for generating motion information by recognizing a motion of the user; a motion processing part for reflecting the motion of the user on the screen part on the basis of the motion information; a screen movement part which requests the motion processing part to reflect the motion of the user on the screen part corresponding to a screen movement signal if the motion recognition part receives the screen movement signal from the user; and meta bus server which provides meta bus content shared by multiple users and meta bus real-sense effect data corresponding to the meta bus content when the motion of the multiple users is reflected on the screen part.</t>
  </si>
  <si>
    <t>media content|signal|sensible</t>
  </si>
  <si>
    <t xml:space="preserve">The second signal is transmitted to the user on the basis of the sensible media content reproduced on the screen unit, and the second signal is transmitted to the user based on the first signal received from the user, And providing the metaverse contents to the plurality of users when the plurality of users are shared by the plurality of users. 
A content server for providing actual feeling data corresponding to the sensible media content and the sensible media content;  A plurality of screen portions for reproducing the sensible media contents;  A sensation device that provides a sensation effect to a user based on the sensation data;  A motion recognition unit for recognizing the motion of the user and generating motion information;  A motion processor for reflecting the motion of the user on the screen based on the motion information;  A screen movement unit for requesting the motion processor to reflect the motion of the user on a screen unit corresponding to the screen motion signal when the motion recognition unit receives the screen motion signal from the user; And  A metaverse server for providing metaverse contents shared by the plurality of users and metaverse effect data corresponding to the metaverse contents when motion of a plurality of users is reflected on the screen;  The present invention relates to an experience-type ride reproduction device for a multi-screen realistic media service. 
</t>
  </si>
  <si>
    <t>The second signal is transmitted to the user on the basis of the sensible media content reproduced on the screen unit, and the second signal is transmitted to the user based on the first signal received from the user, And providing the metaverse contents to the plurality of users when the plurality of users are shared by the plurality of users. 
A content server for providing actual feeling data corresponding to the sensible media content and the sensible media content;  A plurality of screen portions for reproducing the sensible media contents;  A sensation device that provides a sensation effect to a user based on the sensation data;  A motion recognition unit for recognizing the motion of the user and generating motion information;  A motion processor for reflecting the motion of the user on the screen based on the motion information;  A screen movement unit for requesting the motion processor to reflect the motion of the user on a screen unit corresponding to the screen motion signal when the motion recognition unit receives the screen motion signal from the user; And  A metaverse server for providing metaverse contents shared by the plurality of users and metaverse effect data corresponding to the metaverse contents when motion of a plurality of users is reflected on the screen;  The present invention relates to an experience-type ride reproduction device for a multi-screen realistic media service. 
3. The method of claim 2,  The content server  A content speed adjusting unit for adjusting a playback speed of the sensible media content to be played on the screen unit according to the motion information of the user;  The present invention relates to an experience-type ride reproduction device for a multi-screen realistic media service. 
3. The method of claim 2,  The content server  A content transfer unit for transmitting the sensible media content and the sensation data to the screen unit through a communication network;  The present invention relates to an experience-type ride reproduction device for a multi-screen realistic media service. 
3. The method of claim 2,  The screen  And the movement of the user is reflected in at least one selected from the avatar and the character. 
3. The method of claim 2,  The motion information that the motion recognition unit recognizes from the motion of the user  Pitch motion information that goes up or down based on the direction in which the user proceeds,  Yaw motion information about the motion rotating leftward or rightward in the direction in which the user is going,  And roll motion information that tilts to the left or right based on a direction in which the user proceeds. 
3. The method of claim 2,  Wherein the screen moving unit displays the sensed media content to be reproduced on the screen before receiving the screen movement signal and the screen content corresponding to the screen movement signal when the screen movement unit reflects the motion of the user on the screen unit corresponding to the screen movement signal, A screen connection unit for connecting realistic media contents to be played back in real time;  Wherein the at least one of the first, 
3. The method of claim 2,  A terrain information providing unit for requesting the motion processing unit to acquire the terrain information from any one of the sensible media content and the metaverse content and reflect the sensation effect corresponding to the terrain information on the screen unit;  Wherein the at least one of the first, 
9. The method of claim 8,  The terrain information providing unit  And requesting the real-time sensing device to transmit a physical stimulus to the user through the real-life sensing device based on the topographic information. 
Receiving a first signal from a user;  Reflecting the motion of the user to move in a plurality of screen portions according to the first signal;  Transmitting a second signal to the user based on the sensible media content to be reproduced on the screen; And  Providing the metaverse content to the plurality of users if the screen is shared by a plurality of users;  The present invention relates to a method of reproducing an experience-type ride for a multi-screen realistic media service. 
Providing a real-time media content and a real-time effect data corresponding to the real-life media content to a screen unit;  Reproducing the sensible media contents by the screen unit;  The real-feeling device providing the real-time effect to the user based on the real-time effect data;  The motion recognition unit recognizing the motion of the user and generating motion information;  Reflecting the motion of the user on the screen based on the motion information;  When the motion recognition unit receives the screen motion signal from the user, the screen motion unit requests the motion processor to reflect the motion of the user on the screen unit corresponding to the screen motion signal; And  Providing the metaverse server with metaverse content shared by the plurality of users and metaverse effect data corresponding to the metaverse content when motion of a plurality of users is reflected on the screen unit;  The present invention relates to a method of reproducing an experience-type ride for a multi-screen realistic media service. 
12. The method of claim 11,  Adjusting a playback speed of the sensible media content to be played back on the screen according to the motion information of the user;  The method comprising the steps of: a) providing a plurality of real-time media services; 
12. The method of claim 11,  The contents transmitting unit transmitting the sensible media contents and the sensation data to the screen through a communication network;  The method comprising the steps of: a) providing a plurality of real-time media services; 
12. The method of claim 11,  When the screen moving unit reflects the motion of the user on the screen unit corresponding to the screen moving signal,  Connecting the sensible media contents reproduced on the screen before receiving the screen movement signal and the sensible media contents reproduced on the screen corresponding to the screen movement signal;  The method comprising the steps of: a) providing a plurality of real-time media services; 
12. The method of claim 11,  The terrain information providing unit acquiring the terrain information from any one of the sensed media contents and the metaverse contents and requesting the motion processing unit to reflect the sensation effect corresponding to the terrain information on the screen unit; And  Requesting the real-time sensing device to transmit a physical stimulus to the user through the real-life sensing device based on the topographic information;  The method comprising the steps of: a) providing a plurality of real-time media services;</t>
  </si>
  <si>
    <t>Park, Sang Wook|Jang, Jong Hyun</t>
  </si>
  <si>
    <t>KR101808598 B1</t>
  </si>
  <si>
    <t>Application expired due to grant (KR101808598 B1)</t>
  </si>
  <si>
    <t>https://patentscout.innography.com/share/hRTsHenlAlBhfMrkNgNn-g%3D%3D</t>
  </si>
  <si>
    <t>https://patentscout.innography.com/share/hRTsHenlAlBhfMrkNgNn-g%3D%3D/download</t>
  </si>
  <si>
    <t>https://v3.espacenet.com/publicationDetails/biblio?CC=KR&amp;NR=20150129957A&amp;KC=A&amp;FT=D&amp;date=20151123&amp;DB=EPODOC&amp;locale=</t>
  </si>
  <si>
    <t>특허법인이지</t>
  </si>
  <si>
    <t>1. The second signal is transmitted to the user on the basis of the sensible media content reproduced on the screen unit, and the second signal is transmitted to the user based on the first signal received from the user, And providing the metaverse contents to the plurality of users when the plurality of users are shared by the plurality of users.</t>
  </si>
  <si>
    <t>2. A content server for providing actual feeling data corresponding to the sensible media content and the sensible media content;  A plurality of screen portions for reproducing the sensible media contents;  A sensation device that provides a sensation effect to a user based on the sensation data;  A motion recognition unit for recognizing the motion of the user and generating motion information;  A motion processor for reflecting the motion of the user on the screen based on the motion information;  A screen movement unit for requesting the motion processor to reflect the motion of the user on a screen unit corresponding to the screen motion signal when the motion recognition unit receives the screen motion signal from the user; And  A metaverse server for providing metaverse contents shared by the plurality of users and metaverse effect data corresponding to the metaverse contents when motion of a plurality of users is reflected on the screen;  The present invention relates to an experience-type ride reproduction device for a multi-screen realistic media service.</t>
  </si>
  <si>
    <t>10. Receiving a first signal from a user;  Reflecting the motion of the user to move in a plurality of screen portions according to the first signal;  Transmitting a second signal to the user based on the sensible media content to be reproduced on the screen; And  Providing the metaverse content to the plurality of users if the screen is shared by a plurality of users;  The present invention relates to a method of reproducing an experience-type ride for a multi-screen realistic media service.</t>
  </si>
  <si>
    <t>11. Providing a real-time media content and a real-time effect data corresponding to the real-life media content to a screen unit;  Reproducing the sensible media contents by the screen unit;  The real-feeling device providing the real-time effect to the user based on the real-time effect data;  The motion recognition unit recognizing the motion of the user and generating motion information;  Reflecting the motion of the user on the screen based on the motion information;  When the motion recognition unit receives the screen motion signal from the user, the screen motion unit requests the motion processor to reflect the motion of the user on the screen unit corresponding to the screen motion signal; And  Providing the metaverse server with metaverse content shared by the plurality of users and metaverse effect data corresponding to the metaverse content when motion of a plurality of users is reflected on the screen unit;  The present invention relates to a method of reproducing an experience-type ride for a multi-screen realistic media service.</t>
  </si>
  <si>
    <t>US20020049627 A1 | US20030009691 A1 | US20030105654 A1 | US20040044895 A1 | US20040064353 A1 | US20050060572 A1 | US20050283372 A1 | US20060041436 A1 | US20070124269 A1 | US20080034055 A1</t>
  </si>
  <si>
    <t>US9619540 B2 | US9621435 B2 | US9667470 B2 | US9734224 B2 | US9792338 B2 | US10009219 B2 | US10148530 B2 | US10164901 B2 | US10212053 B2 | US10270706 B2 | US10521746 B2 | US11075791 B2 | US8880889 B1 | US9203866 B2 | US9253113 B2 | US9264902 B1 | US9319269 B2 | US9397884 B2 | US9462473 B2 | US20140075027 A1 | US20090187440 A1 | US20100043049 A1 | US8010786 B1 | US20120046989 A1</t>
  </si>
  <si>
    <t>2010-04-27</t>
  </si>
  <si>
    <t>2006-03-06</t>
  </si>
  <si>
    <t>2007-09-13</t>
  </si>
  <si>
    <t>A method and system for managing and applying entitlements is described herein. An identity integration server centrally manages data associated with entitlements for a plurality of identities. The integration server may select one of a plurality of workflows. One or more of a plurality of entitlements to be used in the workflow are selected and a set of identities for which the workflow is applicable is selected. A determination is made as to whether the workflow should be run on the identities. If so then the workflow is initiated. The one or more entitlements are then added to a granted entitlements list. Then a separate process may be initiated to apply the one or more entitlements to the one or more identities.</t>
  </si>
  <si>
    <t>Management and application of entitlements</t>
  </si>
  <si>
    <t>entitlement|workflow|integration server</t>
  </si>
  <si>
    <t>Microsoft Technology Licensing, LLC</t>
  </si>
  <si>
    <t>MICROSOFT TECHNOLOGY LICENSING, LLC.</t>
  </si>
  <si>
    <t>US11/276582</t>
  </si>
  <si>
    <t>AHSHIK KIM</t>
  </si>
  <si>
    <t>2876: Optics</t>
  </si>
  <si>
    <t xml:space="preserve">A method comprising:
selecting one of a plurality of workflows;
selecting one or more of a plurality of entitlements to be used in the selected workflow;
selecting one or more of a plurality of identities for which the workflow is applicable;
initiating the workflow on the one or more selected identities to grant the one or more entitlements to the one or more selected identities; and
initiating a process to apply the one or more selected entitlements to the one or more selected identities.
</t>
  </si>
  <si>
    <t>1. A method comprising:
selecting one of a plurality of workflows;
selecting one or more of a plurality of entitlements to be used in the selected workflow;
selecting one or more of a plurality of identities for which the workflow is applicable;
initiating the workflow on the one or more selected identities to grant the one or more entitlements to the one or more selected identities; and
initiating a process to apply the one or more selected entitlements to the one or more selected identities.
2. The method of claim 1, wherein each identity is associated with a stored metaverse object.
3. The method of claim 1, further comprising determining whether a selected identity has a selected entitlement.
4. The method of claim 3, further comprising initiating the workflow when the selected identity does not have the selected entitlement.
5. The method of claim 1, further comprising determining a workflow for revoking a selected entitlement.
6. The method of claim 5, further comprising determining whether the selected identity has a selected entitlement that should be revoked.
7. The method of claim 6, further comprising initiating the workflow for revoking a selected entitlement when the selected identity has a selected entitlement that should be revoked.
8. The method of claim 1, wherein one or more of the plurality of entitlements is an account.
9. The method of claim 1, wherein one or more of the plurality of entitlements is an access right.
10. A system comprising:
a data store to store metaverse objects, each metaverse object associated with an identity;
one or more management agents coupled to one or more directories to send requests for entitlements and to apply entitlements to the corresponding directories; and
an integration server coupled to the data store and to the one or more management agents to centrally manage data associated with entitlements for a plurality of identities, the integration server to receive the requests for entitlements from the management agents, to initiate corresponding workflows for the requests, and to initiate processes to apply the entitlements to the corresponding directories through the corresponding management agents.
11. The system of claim 10, where the integration server to maintain for each metaverse object a granted entitlements list indicating one or more entitlements that have been granted to the metaverse object via the corresponding workflows.
12. The system of claim 10, where the integration server to maintain for each metaverse object a current entitlements list indicating one or more entitlements the metaverse object currently has.
13. The system of claim 10, further comprising a data store coupled to the integration server to store workflows, each workflow associated with a business process to grant or revoke at least one of the entitlements for at least one of the identities managed by the integration server.
14. The system of claim 10, further comprising a data store coupled to the integration server to store definitions for the entitlements managed by the integration server.
15. One or more device-readable media with device-executable instructions for performing steps comprising:
receiving a request to grant an entitlement to an identity, the identity associated with a metaverse object;
determining a business process associated with granting the requested entitlement to the identity;
initiating the business process to grant the requested entitlement to the identity; and
initiating a separate process to apply the requested entitlement to the identity.
16. The one or more device-readable media of claim 15, wherein the steps further comprise adding the requested entitlement to a list of granted entitlements associated with the identity.
17. The one or more device-readable media of claim 15, wherein initiating a separate process to apply the requested entitlement to the identity comprises sending a request to a management agent to apply the requested entitlement to the identity.
18. The one or more device-readable media of claim 17, wherein the steps further comprise adding the requested entitlement to a list of current entitlements associated with the identity when the requested entitlement has been applied to the identity.
19. The one or more device-readable media of claim 15, wherein the requested entitlement is an account.
20. The one or more device-readable media of claim 15, wherein the requested entitlement is an access right.</t>
  </si>
  <si>
    <t>Koorland, Neil K|Yip, Geeman|Man, Herman J|Kress, Brian T|Zybura, John H|Wu, Jing|Leibmann, Matthias</t>
  </si>
  <si>
    <t>US7703667 B2</t>
  </si>
  <si>
    <t>G06Q0010000000</t>
  </si>
  <si>
    <t>G06Q0010000000 | G06Q0010100000 | G06Q0010063300</t>
  </si>
  <si>
    <t>G06F01700000 | G06Q01000000</t>
  </si>
  <si>
    <t>US20070215683A1|WO2007102966A1|EP1999714A1|KR20080106220A|CN101395632A|US7703667B2|JP2009529182A|IN2008CN04241A</t>
  </si>
  <si>
    <t>US20070215683 A1 | WO2007102966 A1 | EP1999714 A1 | KR20080106220 A | CN101395632 A | US7703667 B2 | JP2009529182 A</t>
  </si>
  <si>
    <t>I-000031142522</t>
  </si>
  <si>
    <t>Application expired due to grant (US7703667 B2)</t>
  </si>
  <si>
    <t>https://patentscout.innography.com/share/YgpBh0-k6Yl88NEG3x89og%3D%3D</t>
  </si>
  <si>
    <t>2006-04-26-ASSIGNMENT (MICROSOFT CORPORATION)|2010-04-07-INFORMATION ON STATUS: PATENT GRANT|2013-09-25-FEE PAYMENT|2014-10-14-ASSIGNMENT (MICROSOFT TECHNOLOGY LICENSING, LLC)|2017-10-12-MAINTENANCE FEE PAYMENT|2021-10-13-MAINTENANCE FEE PAYMENT</t>
  </si>
  <si>
    <t>https://patentscout.innography.com/share/YgpBh0-k6Yl88NEG3x89og%3D%3D/download</t>
  </si>
  <si>
    <t>https://ppubs.uspto.gov/pubwebapp/external.html?q=20070215683.pn.</t>
  </si>
  <si>
    <t>US20070215683 A1</t>
  </si>
  <si>
    <t>102 | US09/837070 | CTNF</t>
  </si>
  <si>
    <t>Unassigned</t>
  </si>
  <si>
    <t>1. A method comprising:
selecting one of a plurality of workflows;
selecting one or more of a plurality of entitlements to be used in the selected workflow;
selecting one or more of a plurality of identities for which the workflow is applicable;
initiating the workflow on the one or more selected identities to grant the one or more entitlements to the one or more selected identities; and
initiating a process to apply the one or more selected entitlements to the one or more selected identities.</t>
  </si>
  <si>
    <t>10. A system comprising:
a data store to store metaverse objects, each metaverse object associated with an identity;
one or more management agents coupled to one or more directories to send requests for entitlements and to apply entitlements to the corresponding directories; and
an integration server coupled to the data store and to the one or more management agents to centrally manage data associated with entitlements for a plurality of identities, the integration server to receive the requests for entitlements from the management agents, to initiate corresponding workflows for the requests, and to initiate processes to apply the entitlements to the corresponding directories through the corresponding management agents.</t>
  </si>
  <si>
    <t>15. One or more device-readable media with device-executable instructions for performing steps comprising:
receiving a request to grant an entitlement to an identity, the identity associated with a metaverse object;
determining a business process associated with granting the requested entitlement to the identity;
initiating the business process to grant the requested entitlement to the identity; and
initiating a separate process to apply the requested entitlement to the identity.</t>
  </si>
  <si>
    <t>US20060041436 A1 | US20040044895 A1 | US20050283372 A1 | US20030009691 A1 | US20040064353 A1</t>
  </si>
  <si>
    <t>2007-02-06</t>
  </si>
  <si>
    <t>2008-09-06</t>
  </si>
  <si>
    <t>US2007003125W</t>
  </si>
  <si>
    <t>A method comprising: selecting one of a plurality of workflows; selecting one or more of a plurality of entitlements to be used in the selected workflow; selecting one or more of a plurality of identities for which the workflow is applicable; initiating the workflow on the one or more selected identities to grant the one or more entitlements to the one or more selected identities; and initiating a process to apply the one or more selected entitlements to the one or more selected identities.</t>
  </si>
  <si>
    <t>1. A method comprising: selecting one of a plurality of workflows; selecting one or more of a plurality of entitlements to be used in the selected workflow; selecting one or more of a plurality of identities for which the workflow is applicable; initiating the workflow on the one or more selected identities to grant the one or more entitlements to the one or more selected identities; and initiating a process to apply the one or more selected entitlements to the one or more selected identities.
2. The method of claim 1, wherein each identity is associated with a stored metaverse object.
3. The method of claim 1, further comprising determining whether a selected identity has a selected entitlement.
4. The method of claim 3, further comprising initiating the workflow when the selected identity does not have the selected entitlement.
5. The method of claim 1, further comprising determining a workflow for revoking a selected entitlement.
6. The method of claim 5, further comprising determining whether the selected identity has a selected entitlement that should be revoked.
7. The method of claim 6, further comprising initiating the workflow for revoking a selected entitlement when the selected identity has a selected entitlement that should be revoked.  
8. The method of claim 1, wherein one or more of the plurality of entitlements is an account.
9. The method of claim 1, wherein one or more of the plurality of entitlements is an • access right.
10. A system comprising: a data store to store metaverse objects, each metaverse object associated with an identity; one or more management agents coupled to one or more directories to send requests for entitlements and to apply entitlements to the corresponding directories; and an integration server coupled to the data store and to the one or more management agents to centrally manage data associated with entitlements for a plurality of identities, the integration server to receive the requests for entitlements from the management agents, to initiate corresponding workflows for the requests, and to initiate processes to apply the entitlements to the corresponding directories through the corresponding management agents.
11. The system of claim 10, where the integration server to maintain for each metaverse object a granted entitlements list indicating one or more entitlements that have been granted to the metaverse object via the corresponding workflows.
12. The system of claim 10, where the integration server to maintain for each metaverse object a current entitlements list indicating one or more entitlements the metaverse object currently has.
13. The system of claim 10, further comprising a data store coupled to the integration server to store workflows, each workflow associated with a business process to grant or revoke at least one of the entitlements for at least one of the identities managed by the integration server.
14. The system of claim 10, further comprising a data store coupled to the integration server to store definitions for the entitlements managed by the integration server.  
15. One or more device-readable media with device-executable instructions for performing steps comprising: receiving a request to grant an entitlement to an identity, the identity associated with a metaverse object; determining a business process associated with granting the requested entitlement •to the identity; initiating the business process to grant the requested entitlement to the identity; and initiating a separate process to apply the requested entitlement to the identity.
16. The one or more device-readable media of claim 15, wherein the steps further comprise adding the requested entitlement to a list of granted entitlements associated with the identity.
17. The one or more device-readable media of claim 15, wherein initiating a separate process to apply the requested entitlement to the identity comprises sending a request to a management agent to apply the requested entitlement to the identity.
18. The one or more device-readable media of claim 17, wherein the steps further comprise adding the requested entitlement to a list of current entitlements associated with the identity when the requested entitlement has been applied to the identity.
19. The one or more device-readable media of claim 15, wherein the requested entitlement is an account.
20. The one or more device-readable media of claim 15, wherein the requested entitlement is an access right.</t>
  </si>
  <si>
    <t>Koorland, Neil K|Yip, Geeman|Man, Herman J|Kress, Briant T|Zibura, John H</t>
  </si>
  <si>
    <t>AE, AG, AL, AM, AT, AU, AZ, BA, BB, BG, BR, BW, BY, BZ, CA, CH, CN, CO, CR, CU, CZ, DE, DK, DM, DZ, EC, EE, EG, ES, FI, GB, GD, GE, GH, GM, GT, HN, HR, HU, ID, IL, IN, IS, JP, KE, KG, KM, KN, KP, KR, KZ, LA, LC, LK, LR, LS, LT, LU, LV, LY, MA, MD, MG, MK, MN, MW, MX, MY, MZ, NA, NG, NI, NO, NZ, OM, PG, PH, PL, PT, RO, RS, RU, SC, SD, SE, SG, SK, SL, SM, SV, SY, TJ, TM, TN, TR, TT, TZ, UA, UG, US, UZ, VC, VN, ZA, ZM, ZW</t>
  </si>
  <si>
    <t>G06Q01000000</t>
  </si>
  <si>
    <t>G06Q01000000 | G06Q09900000</t>
  </si>
  <si>
    <t>I-000031217568</t>
  </si>
  <si>
    <t>30 months from 2006-03-06 (priority date)</t>
  </si>
  <si>
    <t>https://patentscout.innography.com/share/cIZl3258_5R3OuVIJBEuRg%3D%3D</t>
  </si>
  <si>
    <t>2007-11-07-EP: THE EPO HAS BEEN INFORMED BY WIPO THAT EP WAS DESIGNATED IN THIS APPLICATION|2008-08-11-WIPO INFORMATION: ENTRY INTO NATIONAL PHASE|2008-09-02-WIPO INFORMATION: ENTRY INTO NATIONAL PHASE|2008-09-08-WIPO INFORMATION: ENTRY INTO NATIONAL PHASE|2008-09-08-WIPO INFORMATION: ENTRY INTO NATIONAL PHASE|2008-09-09-NON-ENTRY INTO THE NATIONAL PHASE IN:|2008-10-02-WIPO INFORMATION: ENTRY INTO NATIONAL PHASE</t>
  </si>
  <si>
    <t>https://patentscout.innography.com/share/cIZl3258_5R3OuVIJBEuRg%3D%3D/download</t>
  </si>
  <si>
    <t>https://v3.espacenet.com/publicationDetails/biblio?CC=WO&amp;NR=2007102966A1&amp;KC=A1&amp;FT=D&amp;date=20070913&amp;DB=EPODOC&amp;locale=</t>
  </si>
  <si>
    <t>WO2007102966 A1</t>
  </si>
  <si>
    <t>1. A method comprising: selecting one of a plurality of workflows; selecting one or more of a plurality of entitlements to be used in the selected workflow; selecting one or more of a plurality of identities for which the workflow is applicable; initiating the workflow on the one or more selected identities to grant the one or more entitlements to the one or more selected identities; and initiating a process to apply the one or more selected entitlements to the one or more selected identities.</t>
  </si>
  <si>
    <t>10. A system comprising: a data store to store metaverse objects, each metaverse object associated with an identity; one or more management agents coupled to one or more directories to send requests for entitlements and to apply entitlements to the corresponding directories; and an integration server coupled to the data store and to the one or more management agents to centrally manage data associated with entitlements for a plurality of identities, the integration server to receive the requests for entitlements from the management agents, to initiate corresponding workflows for the requests, and to initiate processes to apply the entitlements to the corresponding directories through the corresponding management agents.</t>
  </si>
  <si>
    <t>15. One or more device-readable media with device-executable instructions for performing steps comprising: receiving a request to grant an entitlement to an identity, the identity associated with a metaverse object; determining a business process associated with granting the requested entitlement •to the identity; initiating the business process to grant the requested entitlement to the identity; and initiating a separate process to apply the requested entitlement to the identity.</t>
  </si>
  <si>
    <t>2008-12-10</t>
  </si>
  <si>
    <t>2010-09-01</t>
  </si>
  <si>
    <t>EP07717203A</t>
  </si>
  <si>
    <t>AT, BE, BG, CH, CY, CZ, DE, DK, EE, ES, FI, FR, GB, GR, HU, IE, IS, IT, LI, LT, LU, LV, MC, NL, PL, PT, RO, SE, SI, SK, TR</t>
  </si>
  <si>
    <t>G06Q09900000</t>
  </si>
  <si>
    <t>G06Q09900000 | G06Q01000000</t>
  </si>
  <si>
    <t>$8706</t>
  </si>
  <si>
    <t>I-000079576240</t>
  </si>
  <si>
    <t>https://patentscout.innography.com/share/HqgxCe4yBeVhY04kdy4dOg%3D%3D</t>
  </si>
  <si>
    <t>2008-11-13-PUBLIC REFERENCE MADE UNDER ARTICLE 153(3) EPC TO A PUBLISHED INTERNATIONAL APPLICATION THAT HAS ENTERED THE EUROPEAN PHASE|2008-12-10-REQUEST FOR EXAMINATION FILED|2008-12-10-DESIGNATED CONTRACTING STATES: (AT,BE,BG,CH,CY,CZ,DE,DK,EE,ES,FI,FR,GB,GR,HU,IE,IS,IT,LI,LT,LU,LV,MC,NL,PL,PT,RO,SE,SI,SK,TR - Reference Kind: A1)|2008-12-10-DESIGNATED CONTRACTING STATES|2011-02-04-INFORMATION ON THE STATUS OF AN EP PATENT APPLICATION OR GRANTED EP PATENT|2011-03-09-DEEMED TO BE WITHDRAWN|2011-03-09-APPLICATION DEEMED TO BE WITHDRAWN</t>
  </si>
  <si>
    <t>https://patentscout.innography.com/share/HqgxCe4yBeVhY04kdy4dOg%3D%3D/download</t>
  </si>
  <si>
    <t>https://v3.espacenet.com/publicationDetails/biblio?CC=EP&amp;NR=1999714A1&amp;KC=A1&amp;FT=D&amp;date=20081210&amp;DB=EPODOC&amp;locale=</t>
  </si>
  <si>
    <t>PCT/US2007/003125</t>
  </si>
  <si>
    <t>EP01999714 A1</t>
  </si>
  <si>
    <t>Grünecker, Kinkeldey, Stockmair &amp; Schwanhäusser Anwaltssozietät</t>
  </si>
  <si>
    <t>2008-09-02</t>
  </si>
  <si>
    <t>2012-03-07</t>
  </si>
  <si>
    <t>A method and system for managing and applying entitlements is described herein. An identity integration server centrally manages data associated with entitlements for a plurality of identities. The integration server may select one of a plurality of workflows. One or more of a plurality of entitlements to be used in the workflow are selected and a set of identities for which the workflow is applicable is selected. A determination is made as to whether the workflow should be run on the identities. If so then the workflow is initiated. The one or more entitlements are then added to a granted entitlements list. Then a separate process may be initiated to apply the one or more entitlements to the one or more identities.  KIPO &amp; WIPO 2009</t>
  </si>
  <si>
    <t>Microsoft Corp.</t>
  </si>
  <si>
    <t>KR20087021493A</t>
  </si>
  <si>
    <t>Selecting one of the plurality of workflows;Selecting one or more of the plurality of entitlements to be used in the selected workflow;Selecting at least one identity among a plurality of identities to which the workflow is applicable;Initiating the workflow on the one or more selected identities to grant the one or more entitlements to the one or more selected identities; AndInitiating a process for applying the one or more selected credentials to the one or more selected identities.How to include.
The method of claim 1,Each of said identities is associated with a stored metaverse object.
The method of claim 1,Determining whether the selected identity has the selected entitlement.
The method of claim 3,If the selected identity does not have the selected qualification, further comprising starting the workflow.
The method of claim 1,Determining the workflow for revoking the selected entitlement.
The method of claim 5,Determining whether the selected identity has a selected entitlement to be revoked.
The method of claim 6,If the selected identity has a selected entitlement to be revoked, starting the workflow to revoke the selected entitlement.
The method of claim 1,One or more of the plurality of entitlements is an account.
The method of claim 1,At least one of the plurality of entitlements is an access right.
A data store for storing metaverse objects, each of the metaverse objects being associated with an identity;One or more management agents connected to one or more directories to send requests for credentials and apply the credentials to their corresponding directories; AndAn integration server coupled to the data repository and the one or more management agents to centrally manage data associated with entitlements for a plurality of identities, the integration server for the entitlements from the management agents. Initiating processes for receiving requests, launching corresponding workflows for the requests, and applying the entitlements to the corresponding directories via the corresponding management agents;System comprising a.
The method of claim 10,The integration server maintains, for each metaverse object, a granted entitlements list indicative of one or more entitlements that were granted to the metaverse object via the corresponding workflows.
The method of claim 10,The integration server maintains, for each metaverse object, a current entitlements list representing one or more entitlements that the metaverse object currently has.
The method of claim 10,Further comprising a data store connected to the integration server for storing workflows,Each of the workflows is associated with a business process for approving or revoking at least one of the entitlements for at least one of the identities managed by the integration server.
The method of claim 10,And a data store coupled to the integration server for storing definitions for entitlements managed by the integration server.
Receiving a request to authorize an identity, wherein the identity is associated with a metaverse object;Determining a business process associated with granting the requested credential to the identity;Starting a business process to grant the requested credential to the identity; AndStarting a separate process to apply the requested entitlement to the identityOne or more device readable media having device executable instructions for performing the command.
The method of claim 15,Adding the requested entitlement to the list of authorized entitlements associated with the identity.
The method of claim 15,Initiating a separate process to apply the requested entitlement to the identity comprises sending a request to a management agent to apply the requested entitlement to the identity.
The method of claim 17,And when the requested entitlement is applied to the identity, adding the requested entitlement to a list of current entitlements associated with the identity.
The method of claim 15,At least one device readable medium wherein the requested entitlement is an account.
The method of claim 15,One or more device readable media wherein the requested entitlement is an access right.</t>
  </si>
  <si>
    <t>I-000079790272</t>
  </si>
  <si>
    <t>https://patentscout.innography.com/share/MMRVUA4zB4krRfG8rpLu8g%3D%3D</t>
  </si>
  <si>
    <t>2012-03-07-WITHDRAWAL DUE TO NO REQUEST FOR EXAMINATION</t>
  </si>
  <si>
    <t>https://patentscout.innography.com/share/MMRVUA4zB4krRfG8rpLu8g%3D%3D/download</t>
  </si>
  <si>
    <t>https://v3.espacenet.com/publicationDetails/biblio?CC=KR&amp;NR=20080106220A&amp;KC=A&amp;FT=D&amp;date=20081204&amp;DB=EPODOC&amp;locale=</t>
  </si>
  <si>
    <t>KR20080106220 A</t>
  </si>
  <si>
    <t>백만기 | 양영준</t>
  </si>
  <si>
    <t>1. Selecting one of the plurality of workflows;Selecting one or more of the plurality of entitlements to be used in the selected workflow;Selecting at least one identity among a plurality of identities to which the workflow is applicable;Initiating the workflow on the one or more selected identities to grant the one or more entitlements to the one or more selected identities; AndInitiating a process for applying the one or more selected credentials to the one or more selected identities.How to include.</t>
  </si>
  <si>
    <t>10. A data store for storing metaverse objects, each of the metaverse objects being associated with an identity;One or more management agents connected to one or more directories to send requests for credentials and apply the credentials to their corresponding directories; AndAn integration server coupled to the data repository and the one or more management agents to centrally manage data associated with entitlements for a plurality of identities, the integration server for the entitlements from the management agents. Initiating processes for receiving requests, launching corresponding workflows for the requests, and applying the entitlements to the corresponding directories via the corresponding management agents;System comprising a.</t>
  </si>
  <si>
    <t>15. Receiving a request to authorize an identity, wherein the identity is associated with a metaverse object;Determining a business process associated with granting the requested credential to the identity;Starting a business process to grant the requested credential to the identity; AndStarting a separate process to apply the requested entitlement to the identityOne or more device readable media having device executable instructions for performing the command.</t>
  </si>
  <si>
    <t>US9985992 B1 | US8819814 B1 | US8959114 B2 | US20150262190 A1 | US20130103640 A1 | US20080201761 A1 | US8095970 B2</t>
  </si>
  <si>
    <t>2029-02-25</t>
  </si>
  <si>
    <t xml:space="preserve">A method comprising:
selecting an entitlement to be used in a workflow;
selecting identities for which the workflow is applicable;
determining that at least one of the identities does not have the entitlement;
based on the determining, initiating the workflow on the at least one identity to grant the entitlement to the at least one identity; and
initiating a process to apply the entitlement to the at least one identity.
</t>
  </si>
  <si>
    <t>1. A method comprising:
selecting an entitlement to be used in a workflow;
selecting identities for which the workflow is applicable;
determining that at least one of the identities does not have the entitlement;
based on the determining, initiating the workflow on the at least one identity to grant the entitlement to the at least one identity; and
initiating a process to apply the entitlement to the at least one identity.
2. The method of claim 1, wherein individual identities are associated with a stored metaverse object.
3. The method of claim 1, further comprising determining whether the at least one identity or at least one other of the identities has a selected entitlement that should be revoked.
4. The method of claim 3, further comprising initiating the workflow or another workflow to revoke the selected entitlement.
5. The method of claim 1, wherein the entitlement is an account.
6. The method of claim 1, wherein the entitlement is an access right.
7. A system comprising:
a data store to store metaverse objects, each metaverse object associated with an identity;
one or more management agents coupled to one or more directories to send requests for entitlements and to apply entitlements to corresponding directories; and
an integration server coupled to the data store and to the one or more management agents to centrally manage data associated with individual entitlements for a plurality of identities, the integration server to receive the requests for entitlements from the one or more management agents, to initiate corresponding workflows for the requests, and to initiate processes to apply the individual entitlements to corresponding directories through corresponding management agents of the one or more management agents.
8. The system of claim 7, the integration server to maintain for each metaverse object a granted entitlements list indicating one or more entitlements that have been granted to the metaverse object via the corresponding workflows.
9. The system of claim 7, the integration server to maintain for each metaverse object a current entitlements list indicating one or more entitlements the metaverse object currently has.
10. The system of claim 7, further comprising a data store coupled to the integration server to store workflows, individual workflows associated with a business process to grant or revoke at least one of the entitlements for at least one of the plurality of identities.
11. The system of claim 7, further comprising a data store coupled to the integration server to store definitions for the entitlements.
12. One or more device-readable media with device-executable instructions for performing steps comprising:
receiving a request to grant an entitlement to an identity, the identity associated with a metaverse object;
determining a business process associated with granting the requested entitlement to the identity;
initiating the business process to grant the requested entitlement to the identity;
initiating a separate process to apply the requested entitlement to the identity; and
adding the requested entitlement to a list of granted entitlements associated with the identity.
13. The one or more device-readable media of claim 12, wherein initiating a separate process to apply the requested entitlement to the identity comprises sending a request to a management agent to apply the requested entitlement to the identity.
14. The one or more device-readable media of claim 13, wherein the steps further comprise adding the requested entitlement to a list of current entitlements associated with the identity when the requested entitlement has been applied to the identity.
15. The one or more device-readable media of claim 12, wherein the requested entitlement is an account.
16. The one or more device-readable media of claim 12, wherein the requested entitlement is an access right.</t>
  </si>
  <si>
    <t>G06Q01000000 | G06F01700000</t>
  </si>
  <si>
    <t>235375000|705001100|705007270</t>
  </si>
  <si>
    <t>20 years from 2006-03-06 (file date) plus a term adjustment of 1087 days</t>
  </si>
  <si>
    <t>https://patentscout.innography.com/share/giohQuEhfm3HE49jdeRtRA%3D%3D</t>
  </si>
  <si>
    <t>https://patentscout.innography.com/share/giohQuEhfm3HE49jdeRtRA%3D%3D/download</t>
  </si>
  <si>
    <t>https://ppubs.uspto.gov/pubwebapp/external.html?q=7703667.pn.</t>
  </si>
  <si>
    <t>1. A method comprising:
selecting an entitlement to be used in a workflow;
selecting identities for which the workflow is applicable;
determining that at least one of the identities does not have the entitlement;
based on the determining, initiating the workflow on the at least one identity to grant the entitlement to the at least one identity; and
initiating a process to apply the entitlement to the at least one identity.</t>
  </si>
  <si>
    <t>7. A system comprising:
a data store to store metaverse objects, each metaverse object associated with an identity;
one or more management agents coupled to one or more directories to send requests for entitlements and to apply entitlements to corresponding directories; and
an integration server coupled to the data store and to the one or more management agents to centrally manage data associated with individual entitlements for a plurality of identities, the integration server to receive the requests for entitlements from the one or more management agents, to initiate corresponding workflows for the requests, and to initiate processes to apply the individual entitlements to corresponding directories through corresponding management agents of the one or more management agents.</t>
  </si>
  <si>
    <t>12. One or more device-readable media with device-executable instructions for performing steps comprising:
receiving a request to grant an entitlement to an identity, the identity associated with a metaverse object;
determining a business process associated with granting the requested entitlement to the identity;
initiating the business process to grant the requested entitlement to the identity;
initiating a separate process to apply the requested entitlement to the identity; and
adding the requested entitlement to a list of granted entitlements associated with the identity.</t>
  </si>
  <si>
    <t>2009-08-13</t>
  </si>
  <si>
    <t>Described herein are methods and systems for managing and applying entitlements. The ID integration server centrally manages data associated with entitlements for a plurality of IDs. The integrated server can select one of a plurality of workflows. One or more of a plurality of entitlements used in the workflow are selected and an ID group to which the workflow is applicable is selected. A determination is made as to whether to execute the workflow on the ID. If so the workflow is started. Thereafter one or more entitlements are added to the allowed entitlement list. Thereafter another process can be initiated to apply one or more entitlements to one or more IDs.</t>
  </si>
  <si>
    <t>Entitlement management and enforcement</t>
  </si>
  <si>
    <t>JP2008558272A</t>
  </si>
  <si>
    <t>Selecting one of a plurality of workflows;  Selecting one or more of the plurality of entitlements used in the selected workflow;  Selecting one or more of a plurality of IDs to which the workflow is applicable;  Initiating the workflow on one or more selected IDs to allow one or more entitlements for one or more selected IDs;  Initiating a process of applying one or more selected entitlements to one or more selected IDs;  A method comprising the steps of:
  The method of claim 1, wherein each ID is associated with a stored Metaverse object.
  The method of claim 1, further comprising determining whether the selected ID has the selected entitlement.
  4. The method of claim 3, further comprising initiating a workflow when the selected ID does not have the selected entitlement.
  The method of claim 1, further comprising determining a workflow for canceling the selected entitlement.
  6. The method of claim 5, further comprising determining whether the selected ID has a selected entitlement that is to be revoked.
  7. The method of claim 6, further comprising initiating a workflow to cancel the selected entitlement when the selected ID has the selected entitlement that is to be canceled. The method described.
  The method of claim 1, wherein one or more of the plurality of entitlements is an account.
  The method of claim 1, wherein one or more of the plurality of entitlements is an access right.
A data store for storing Metaverse objects in which each Metaverse object is associated with an ID;  One or more management agents coupled to one or more directories to send requests for entitlements and apply the entitlements to the corresponding directories;  An integrated server coupled to the data store and the one or more management agents to centrally manage data associated with entitlements for multiple IDs;  The integration server receives a request for an entitlement from a management agent, initiates a workflow corresponding to the request, and applies the entitlement to the corresponding directory through the corresponding management agent. A system characterized by starting.
  The integrated server maintains an allowed entitlement list for each Metaverse object indicating one or more allowed entitlements for the Metaverse object through the corresponding workflow. The system according to claim 10, wherein:
  The integrated server maintains a current entitlement list indicating one or more entitlements currently possessed by the Metaverse object for each Metaverse object. 10. The system according to 10.
  And further comprising a data store coupled to the integration server for storing workflows, each workflow for permitting or revoking at least one of the entitlements for at least one of the IDs managed by the integration server. 11. The system of claim 10, wherein the system is associated with a business process.
  The system of claim 10, further comprising a data store coupled to the integration server for storing definitions of entitlements managed by the integration server.
One or more device-readable media containing device executable instructions, the executable instructions comprising:  A request to allow entitlement for an ID is received, and that ID is associated with a Metaverse object,  Determine the business process associated with granting the requested entitlement for that ID,  Initiate a business process that grants the requested entitlement to that ID,  One or more device-readable media for performing the steps comprising initiating another process of applying the requested entitlement to the ID.
  16. The one or more devices of claim 15, wherein the step further comprises adding the requested entitlement to a list of allowed entitlements associated with the ID. A readable medium.
  Another process of applying the requested entitlement to the ID includes sending a request to the management agent to apply the requested entitlement to the ID. One or more device-readable media.
  The step further comprises adding the requested entitlement to a list of current entitlements associated with the ID when the requested entitlement is applied to the ID. One or more device readable media to perform.
  16. One or more device-readable media as recited in claim 15, wherein the requested entitlement is an account.
  16. One or more device-readable media as recited in claim 15, wherein the requested entitlement is an access right.</t>
  </si>
  <si>
    <t>I-000098082078</t>
  </si>
  <si>
    <t>https://patentscout.innography.com/share/QI0S42ql4mcehlXZFSRHvQ%3D%3D</t>
  </si>
  <si>
    <t>2010-04-06-WITHDRAWAL OF APPLICATION BECAUSE OF NO REQUEST FOR EXAMINATION</t>
  </si>
  <si>
    <t>https://patentscout.innography.com/share/QI0S42ql4mcehlXZFSRHvQ%3D%3D/download</t>
  </si>
  <si>
    <t>https://v3.espacenet.com/publicationDetails/biblio?CC=JP&amp;NR=2009529182A&amp;KC=A&amp;FT=D&amp;date=20090813&amp;DB=EPODOC&amp;locale=</t>
  </si>
  <si>
    <t>JP2009529182 A</t>
  </si>
  <si>
    <t>阿部  和夫 | 谷  義一</t>
  </si>
  <si>
    <t>1. Selecting one of a plurality of workflows;  Selecting one or more of the plurality of entitlements used in the selected workflow;  Selecting one or more of a plurality of IDs to which the workflow is applicable;  Initiating the workflow on one or more selected IDs to allow one or more entitlements for one or more selected IDs;  Initiating a process of applying one or more selected entitlements to one or more selected IDs;  A method comprising the steps of:</t>
  </si>
  <si>
    <t>10. A data store for storing Metaverse objects in which each Metaverse object is associated with an ID;  One or more management agents coupled to one or more directories to send requests for entitlements and apply the entitlements to the corresponding directories;  An integrated server coupled to the data store and the one or more management agents to centrally manage data associated with entitlements for multiple IDs;  The integration server receives a request for an entitlement from a management agent, initiates a workflow corresponding to the request, and applies the entitlement to the corresponding directory through the corresponding management agent. A system characterized by starting.</t>
  </si>
  <si>
    <t>12.   The integrated server maintains a current entitlement list indicating one or more entitlements currently possessed by the Metaverse object for each Metaverse object. 10. The system according to 10.</t>
  </si>
  <si>
    <t>15. One or more device-readable media containing device executable instructions, the executable instructions comprising:  A request to allow entitlement for an ID is received, and that ID is associated with a Metaverse object,  Determine the business process associated with granting the requested entitlement for that ID,  Initiate a business process that grants the requested entitlement to that ID,  One or more device-readable media for performing the steps comprising initiating another process of applying the requested entitlement to the ID.</t>
  </si>
  <si>
    <t>17.   Another process of applying the requested entitlement to the ID includes sending a request to the management agent to apply the requested entitlement to the ID. One or more device-readable media.</t>
  </si>
  <si>
    <t>18.   The step further comprises adding the requested entitlement to a list of current entitlements associated with the ID when the requested entitlement is applied to the ID. One or more device readable media to perform.</t>
  </si>
  <si>
    <t>US9558624 B2 | US9564008 B2 | US9564015 B2 | US9569929 B2 | US9576424 B2 | US9576427 B2 | US9589421 B2 | US9592449 B2 | US9595170 B2 | US9600960 B2 | US9607480 B2 | US9626836 B2 | US9640032 B2 | US9659438 B2 | US9672690 B2 | US9672698 B2 | US9685037 B2 | US9691220 B2 | US9691223 B2 | US9691224 B2 | US9691225 B2 | US9691226 B2 | US9715783 B2 | US9715790 B2 | US9721424 B2 | US9728036 B2 | US9741201 B2 | US9741207 B2 | US9741208 B2 | US9747745 B2 | US9747747 B2 | US9754451 B2 | US9761085 B2 | US9773371 B2 | US9773380 B2 | US9786126 B2 | US9792763 B2 | US9805552 B2 | US9811974 B2 | US9818260 B2 | US9818262 B2 | US9830767 B2 | US9830769 B2 | US9836920 B2 | US9842465 B2 | US9858758 B2 | US9858759 B2 | US9865127 B2 | US9870675 B2 | US9881446 B2 | US9881448 B2 | US9881451 B2 | US9881452 B2 | US9881454 B2 | US9881456 B2 | US9881458 B2 | US9881461 B2 | US9886820 B2 | US9892595 B2 | US9911275 B2 | US9911283 B2 | US9916721 B2 | US9916723 B2 | US9916725 B2 | US9916728 B2 | US9922495 B2 | US9928687 B2 | US9934650 B2 | US9940789 B2 | US9947179 B2 | US9947180 B2 | US9953485 B2 | US9953487 B2 | US9959707 B2 | US9972165 B2 | US9978206 B2 | US9984530 B2 | US9984531 B2 | US9990798 B2 | US9997016 B2 | US9997024 B2 | US10002495 B2 | US10013849 B2 | US10019870 B2 | US10019871 B2 | US10026261 B2 | US10026263 B2 | US10026264 B2 | US10032330 B2 | US10032331 B2 | US10037654 B2 | US10037658 B2 | US10043344 B2 | US10043347 B2 | US10046243 B2 | US10049528 B2 | US10049530 B2 | US10055935 B2 | US10055936 B2 | US10055940 B2 | US10062238 B2 | US10062239 B2 | US10062354 B2 | US10068423 B2 | US10068427 B2 | US10074237 B2 | US10074239 B2 | US10074242 B2 | US10074243 B2 | US10083572 B2 | US10083575 B2 | US10089825 B2 | US10089826 B2 | US10121311 B2 | US10121314 B2 | US10127768 B2 | US10134233 B2 | US10140807 B2 | US10140813 B2 | US10140815 B2 | US10147273 B2 | US10147274 B2 | US10147277 B2 | US10157519 B2 | US10163420 B2 | US10169953 B2 | US10169955 B2 | US10176667 B2 | US10192394 B2 | US10192406 B2 | US10198905 B2 | US10204474 B2 | US10204478 B2 | US10204484 B2 | US10204489 B2 | US10210701 B2 | US10223705 B2 | US10223863 B2 | US10229557 B2 | US10235835 B2 | US10235840 B2 | US10242526 B2 | US10242528 B2 | US10242529 B2 | US10242530 B2 | US10249136 B2 | US10249147 B2 | US10255758 B2 | US10255759 B2 | US10255762 B2 | US10255764 B2 | US10262491 B2 | US10262492 B2 | US10262496 B2 | US10282942 B2 | US10282943 B2 | US10290182 B2 | US10304284 B2 | US10304285 B2 | US10304289 B2 | US10311675 B2 | US10319178 B2 | US10319179 B2 | US10319180 B2 | US10319193 B2 | US10332338 B2 | US10347077 B2 | US10347078 B2 | US10347080 B2 | US10347083 B2 | US10347089 B2 | US10360762 B2 | US10360766 B2 | US10366573 B2 | US10373436 B2 | US10380836 B2 | US10380846 B2 | US10388106 B2 | US10388107 B2 | US10388115 B2 | US10395476 B2 | US10395479 B2 | US10403087 B2 | US10417868 B2 | US10417869 B2 | US10424155 B2 | US10424159 B2 | US10424169 B2 | US10431042 B2 | US10438440 B2 | US10438442 B2 | US10453295 B2 | US10453301 B2 | US10453305 B2 | US10460556 B2 | US10460558 B2 | US10460561 B2 | US10467851 B2 | US10497211 B2 | US10504325 B2 | US10504334 B2 | US10510213 B2 | US10510215 B2 | US10515510 B2 | US10529177 B2 | US10529181 B2 | US20190197823 A1 | US10535225 B2 | US10540844 B2 | US10540845 B2 | US10540849 B2 | US10546462 B2 | US10553069 B2 | US10553071 B2 | US10553075 B2 | US10565822 B2 | US10586422 B2 | US10586424 B2 | US10607453 B2 | US10614659 B2 | US10614674 B2 | US10621820 B2 | US10621821 B2 | US10621828 B2 | US10629026 B2 | US10629028 B2 | US10643427 B2 | US10665057 B2 | US10665059 B2 | US10672227 B2 | US10679466 B2 | US10692327 B2 | US10713887 B2 | US10726667 B2 | US10733836 B2 | US10733844 B2 | US10789807 B2 | US10796525 B2 | US10803706 B2 | US10832520 B2 | US10833109 B2 | US10848446 B1 | US10852918 B1 | US10854042 B2 | US10855632 B2 | US10861170 B1 | US10872451 B2 | US10880246 B2 | US10885739 B2 | US10885745 B2 | US10885747 B2 | US10891828 B2 | US10893385 B1 | US10895964 B1 | US10896534 B1 | US10902661 B1 | US10904181 B2 | US10909804 B2 | US10911387 B1 | US10936066 B1 | US10936157 B2 | US10937274 B2 | US10938758 B2 | US10939246 B1 | US10945098 B2 | US10949648 B1 | US10950091 B2 | US10951562 B2 | US10952013 B1 | US10963529 B1 | US10964082 B2 | US10979752 B1 | USD916809 S1 | USD916810 S1 | USD916811 S1 | USD916871 S1 | USD916872 S1 | US10984569 B2 | US10984575 B2 | US10991395 B1 | US10992619 B2 | US11010022 B2 | US11030789 B2 | US11030813 B2 | US11032670 B1 | US11036781 B1 | US11036989 B1 | US11039270 B2 | US11043068 B2 | US11048916 B2 | US11055514 B1 | US11063891 B2 | US11069103 B1 | US11074675 B2 | US11080917 B2 | US20190279465 A1 | US11100311 B2 | US11103795 B1 | US11120597 B2 | US11120601 B2 | US11122094 B2 | US11128586 B2 | US11128715 B1 | US11140515 B1 | US11166123 B1 | US11169658 B2 | US11171902 B2 | US11176737 B2 | US11188190 B2 | US11189070 B2 | US11189098 B2 | US11199957 B1 | US11217020 B2 | US11218433 B2 | US11218838 B2 | US11227442 B1 | US11229849 B2 | US11245658 B2 | US11263254 B2 | US11263817 B1 | US11270491 B2 | US11275439 B2 | US11284144 B2 | US11291919 B2 | US11294545 B2 | US11294936 B1 | US11301117 B2 | US11307747 B2 | US11310176 B2 | US11315259 B2 | US11320969 B2 | US11321896 B2 | US11341962 B2 | US11348301 B2 | US11354843 B2 | US11356720 B2 | US11360733 B2 | US11367435 B2 | US11385763 B2 | US11392264 B1 | US11411895 B2 | US11418470 B2 | US11418906 B2 | US11425062 B2 | US11425068 B2 | US11438288 B2 | US11438341 B1 | US11443491 B2 | US11443772 B2 | US11450051 B2 | US11451956 B1 | US11452939 B2 | US11455081 B2 | US11455082 B2 | US11460974 B1 | US11468618 B2 | US11474663 B2 | US11477149 B2 | US20210308585 A1 | US11509615 B2 | US11516173 B1 | US11523159 B2 | US11532105 B2 | US11543939 B2 | US11544885 B2 | US11544902 B2 | US11544883 B1 | US8753212 B2 | US8758122 B2 | US8790170 B2 | US8808086 B2 | US8821264 B2 | US8821270 B2 | US8834263 B2 | US8845408 B2 | US8845419 B2 | US8845420 B2 | US8851967 B2 | US8882586 B2 | US8905840 B2 | US8944899 B2 | US8951109 B2 | US8974294 B2 | US8986097 B2 | US8986110 B2 | US8986117 B2 | US8998707 B2 | US9005008 B2 | US9039508 B1 | US9039521 B2 | US9039536 B2 | US9047735 B2 | US9058723 B2 | US9092933 B2 | US9135776 B2 | US9164664 B2 | US9177435 B2 | US9218714 B2 | US9223469 B2 | US9230404 B2 | US9251657 B2 | US9302175 B2 | US9305420 B2 | US9330533 B2 | US9336656 B2 | US9349247 B2 | US9349249 B2 | US9355529 B2 | US9361758 B2 | US9384623 B2 | US9384630 B2 | US9384631 B2 | US9430902 B2 | US9443387 B2 | US9449460 B2 | US9449466 B2 | US9466175 B2 | US9472055 B2 | US9478096 B2 | US9478103 B2 | US9483165 B2 | US9489797 B2 | US9489802 B2 | US9495837 B2 | US9508216 B2 | US9530275 B2 | US9536375 B2 | US9536383 B2 | US9536386 B2 | US8562445 B2 | US8584024 B2 | US8589803 B2 | US8602881 B2 | US8632395 B2 | US8636577 B2 | US8657660 B2 | US8657675 B1 | US8672748 B2 | US8708808 B2 | US8715068 B2 | US8715069 B2 | US8734238 B2 | US8740690 B2 | US8668581 B2 | US8684829 B2 | US8684813 B2 | US20140011576 A1 | US20090112718 A1 | US20090199095 A1 | US20100050088 A1 | US20100083139 A1 | US20100115422 A1 | US20110078052 A1 | US20110112662 A1 | US20110250575 A1 | US20120246585 A9</t>
  </si>
  <si>
    <t>2018-09-24</t>
  </si>
  <si>
    <t xml:space="preserve">A method performed by a computing device, the method comprising:
running, by a Video Game Central Server, a massive multi player online game that is operable to simultaneously support a plurality of players via a plurality of video game devices,
in which each of the players controls at least one player character,
generating, by the Video Game Central Server, a respective avatar for each of the player characters;
receiving a request to create a binding agreement between a first player of the plurality of players and a second player of the plurality of players;
outputting a plurality of eligible alterations;
receiving, from the second player, a selection of at least one of the eligible alterations;
creating, by the Video Game Central Server, a binding agreement between the first player of the plurality of players and the second player of the plurality of players,
wherein the first player agrees to undertake an obligation and receive a penalty in return for failure to meet the obligation; and
altering, by the Video Game Central Server, an avatar of the first player based on the player's fulfillment or failure to fulfill the obligation and based on the selected at least one alteration.
</t>
  </si>
  <si>
    <t>1. A method performed by a computing device, the method comprising:
running, by a Video Game Central Server, a massive multi player online game that is operable to simultaneously support a plurality of players via a plurality of video game devices,
in which each of the players controls at least one player character,
generating, by the Video Game Central Server, a respective avatar for each of the player characters;
receiving a request to create a binding agreement between a first player of the plurality of players and a second player of the plurality of players;
outputting a plurality of eligible alterations;
receiving, from the second player, a selection of at least one of the eligible alterations;
creating, by the Video Game Central Server, a binding agreement between the first player of the plurality of players and the second player of the plurality of players,
wherein the first player agrees to undertake an obligation and receive a penalty in return for failure to meet the obligation; and
altering, by the Video Game Central Server, an avatar of the first player based on the player's fulfillment or failure to fulfill the obligation and based on the selected at least one alteration.
2. The method of claim 1 wherein the alteration is specified in the contract.
3. The method of claim 2 wherein the alteration is a penalty for the player's failure to fulfill the obligation.
4. The method of claim 2 wherein the alteration is a reward for the player's fulfillment of the obligation.
5. The method of claim 1 further comprising:
receiving, by the Video Game Central Server, a request from the second player to alter the first player's avatar due to the avatar's fulfillment or failure to fulfill an obligation.
6. The method of claim 1 wherein the alteration is to the physical appearance of the avatar.
7. The method of claim 1 wherein the alteration is to an audible quality of the avatar.
8. The method of claim 7 wherein the avatar has an audible voice and the alteration is to the avatar's voice.
9. The method of claim 1 wherein the avatar has a smell and the alteration is to the avatar's smell.
10. The method of claim 1 wherein the alteration is the presence of another character that follows the avatar.
11. The method of claim 1 wherein the type of alteration is selected by the player.
12. The method of claim 1 wherein the right to select the alteration can be transferred to another party.
13. The method of claim 1, further comprising:
receiving, by the Video Game Central Server, an indication that the obligation has not been fulfilled;
assigning, by the Video Game Central Server, the avatar of the first player to a virtual bounty hunter;
applying, by the Video Game Central Server, alterations to the avatars of the first player; and
flagging, by the Video Game Central Server, the avatar of the first player as eligible to be hunted.
14. The method of claim 13 further comprising:
determining, by the Video Game Central Server, that the bounty hunter has found a flagged avatar; and
rewarding, by the Video Game Central Server, the bounty hunter.
15. The method of claim 14 further comprising unflagging, by the Video Game Central Server, the found avatar.
16. The method of claim 14 further comprising restoring, by the Video Game Central Server, the found avatar to its pre-altered condition.
17. An apparatus comprising:
a non-transitory processor; and
a computer readable medium in communication with the processor;
in which the computer readable medium stores instructions which, when executed by the processor, direct the processor to perform a method comprising:
running, by a Video Game Central Server, a massive multi player online game that is operable to simultaneously support a plurality of players via a plurality of video game devices,
in which each of the players controls at least one player character, generating, by the Video Game Central Server, a respective avatar for each of the player characters;
receiving a request to create a binding agreement between a first player of the plurality of players and a second player of the plurality of players;
outputting a plurality of eligible alterations;
receiving, from the second player, a selection of at least one of the eligible alterations;
creating, by the Video Game Central Server, a binding agreement between the first player of the plurality of players and the second player of the plurality of players,
wherein the first player agrees to undertake an obligation and receive a penalty in return for failure to meet the obligation; and
altering, by the Video Game Central Server, an avatar of the first player based on the player's fulfillment or failure to fulfill the obligation and based on the selected at least one alteration.</t>
  </si>
  <si>
    <t>https://patentscout.innography.com/share/PvyhVBHCyGcKnFSkjEoDkg%3D%3D</t>
  </si>
  <si>
    <t>https://patentscout.innography.com/share/PvyhVBHCyGcKnFSkjEoDkg%3D%3D/download</t>
  </si>
  <si>
    <t>https://ppubs.uspto.gov/pubwebapp/external.html?q=7775885.pn.</t>
  </si>
  <si>
    <t>1. A method performed by a computing device, the method comprising:
running, by a Video Game Central Server, a massive multi player online game that is operable to simultaneously support a plurality of players via a plurality of video game devices,
in which each of the players controls at least one player character,
generating, by the Video Game Central Server, a respective avatar for each of the player characters;
receiving a request to create a binding agreement between a first player of the plurality of players and a second player of the plurality of players;
outputting a plurality of eligible alterations;
receiving, from the second player, a selection of at least one of the eligible alterations;
creating, by the Video Game Central Server, a binding agreement between the first player of the plurality of players and the second player of the plurality of players,
wherein the first player agrees to undertake an obligation and receive a penalty in return for failure to meet the obligation; and
altering, by the Video Game Central Server, an avatar of the first player based on the player's fulfillment or failure to fulfill the obligation and based on the selected at least one alteration.</t>
  </si>
  <si>
    <t>17. An apparatus comprising:
a non-transitory processor; and
a computer readable medium in communication with the processor;
in which the computer readable medium stores instructions which, when executed by the processor, direct the processor to perform a method comprising:
running, by a Video Game Central Server, a massive multi player online game that is operable to simultaneously support a plurality of players via a plurality of video game devices,
in which each of the players controls at least one player character, generating, by the Video Game Central Server, a respective avatar for each of the player characters;
receiving a request to create a binding agreement between a first player of the plurality of players and a second player of the plurality of players;
outputting a plurality of eligible alterations;
receiving, from the second player, a selection of at least one of the eligible alterations;
creating, by the Video Game Central Server, a binding agreement between the first player of the plurality of players and the second player of the plurality of players,
wherein the first player agrees to undertake an obligation and receive a penalty in return for failure to meet the obligation; and
altering, by the Video Game Central Server, an avatar of the first player based on the player's fulfillment or failure to fulfill the obligation and based on the selected at least one alteration.</t>
  </si>
  <si>
    <t>2023-01-05</t>
  </si>
  <si>
    <t>2022-09-06</t>
  </si>
  <si>
    <t>2037-12-13</t>
  </si>
  <si>
    <t>Exemplary embodiments are disclosed of systems and methods for proactively preempting/mitigating anxiety-related behaviors and associated issues/events.</t>
  </si>
  <si>
    <t>Systems and methods for proactively preempting/mitigating axiety-related behaviors and associated issues/events</t>
  </si>
  <si>
    <t>Conquer Your Addiction LLC</t>
  </si>
  <si>
    <t>CONQUER YOUR ADDICTION LLC</t>
  </si>
  <si>
    <t>US17/903419</t>
  </si>
  <si>
    <t xml:space="preserve">A system for proactively pre-empting/mitigating anxiety-related behaviors and associated issues/events, the system configured to:
assess, using data captured through a plurality of measurements/readings taken by a plurality of different devices, sensors, other systems, and/or communication network(s), a risk(s) of an anxiety-related episode(s) and/or behavior(s) of at least one person and
(a) context(s) associated with the anxiety-related episode(s) and/or behavior(s) of the at least one person; or
(b) location(s) and the context(s) associated with the anxiety-related episode(s) and/or behavior(s) of the at least one person;
analyze the measurements/readings, the anxiety-related episode(s) and/or behavior(s) of the at least one person, and (a) the context(s) associated with the anxiety-related episode(s) and/or behavior(s) of the at least one person or (b) the location(s) and the context(s) associated with the anxiety-related episode(s) and/or behavior(s) of the at least one person, to thereby determine a risk(s) of an anxiety-related episode(s) and/or behavior(s) of the at least one person relative to a trigger threshold(s); and
facilitate one or more actions to lower the risk(s) of the anxiety-related episode(s) and/or behavior(s) of the at least one person associated with a trigger(s) from reaching or exceeding the trigger threshold(s) associated with the anxiety-related episode(s) and/or behavior(s) of the at least one person before the anxiety-related episode(s) and/or behavior(s) of the at least one person occurs.
</t>
  </si>
  <si>
    <t>1. A system for proactively pre-empting/mitigating anxiety-related behaviors and associated issues/events, the system configured to:
assess, using data captured through a plurality of measurements/readings taken by a plurality of different devices, sensors, other systems, and/or communication network(s), a risk(s) of an anxiety-related episode(s) and/or behavior(s) of at least one person and
(a) context(s) associated with the anxiety-related episode(s) and/or behavior(s) of the at least one person; or
(b) location(s) and the context(s) associated with the anxiety-related episode(s) and/or behavior(s) of the at least one person;
analyze the measurements/readings, the anxiety-related episode(s) and/or behavior(s) of the at least one person, and (a) the context(s) associated with the anxiety-related episode(s) and/or behavior(s) of the at least one person or (b) the location(s) and the context(s) associated with the anxiety-related episode(s) and/or behavior(s) of the at least one person, to thereby determine a risk(s) of an anxiety-related episode(s) and/or behavior(s) of the at least one person relative to a trigger threshold(s); and
facilitate one or more actions to lower the risk(s) of the anxiety-related episode(s) and/or behavior(s) of the at least one person associated with a trigger(s) from reaching or exceeding the trigger threshold(s) associated with the anxiety-related episode(s) and/or behavior(s) of the at least one person before the anxiety-related episode(s) and/or behavior(s) of the at least one person occurs.
2. The system of claim 1, wherein the system is configured to:
assess, using data captured through the plurality of measurements/readings taken by the plurality of different devices, sensors, other systems, and/or communication network(s), the risk(s) of the anxiety-related episode(s) of at least one person and
(a) context(s) associated with the anxiety-related episode(s) of the at least one person; or
(b) location(s) and the context(s) associated with the anxiety-related episode(s) of the at least one person;
analyze the measurements/readings, the anxiety-related episode(s) of the at least one person, and (a) the context(s) associated with the anxiety-related episode(s) of the at least one person or (b) the location(s) and the context(s) associated with the anxiety-related episode(s) of the at least one person, to thereby determine a risk(s) of an anxiety-related episode(s) of the at least one person relative to a trigger threshold(s); and
facilitate one or more actions to lower the risk(s) of the anxiety-related episode(s) of the at least one person associated with a trigger(s) from reaching or exceeding the trigger threshold(s) associated with the anxiety-related episode(s) of the at least one person before the anxiety-related episode(s) of the at least one person occurs.
3. The system of claim 1, wherein the system is configured to:
assess, using data captured through the plurality of measurements/readings taken by the plurality of different devices, sensors, other systems, and/or communication network(s), the risk(s) of the anxiety-related behavior(s) of at least one person and
(a) context(s) associated with the anxiety-related behavior(s) of the at least one person; or
(b) location(s) and the context(s) associated with the anxiety-related behavior(s) of the at least one person;
analyze the measurements/readings, the anxiety-related behavior(s) of the at least one person, and (a) the context(s) associated with the anxiety-related behavior(s) of the at least one person or (b) the location(s) and the context(s) associated with the anxiety-related behavior(s) of the at least one person, to thereby determine a risk(s) of an anxiety-related behavior(s) of the at least one person relative to a trigger threshold(s); and
facilitate one or more actions to lower the risk(s) of the anxiety-related behavior(s) of the at least one person associated with a trigger(s) from reaching or exceeding the trigger threshold(s) associated with the anxiety-related behavior(s) of the at least one person before the anxiety-related behavior(s) of the at least one person occurs.
4. The system of claim 1, wherein the system is configured to detect the existence of a metaverse, augmented reality, and/or virtual reality simulated experience(s) for the at least one person, and wherein the system is further configured to:
predict when the at least one person is or will be in the metaverse, augmented realty, and/or virtual reality simulated experience(s); and/or
predict where the at least one person is or will be in the metaverse, augmented realty, and/or virtual reality simulated experience(s); and/or
predict why the at least one person is or will be in the metaverse, augmented realty, and/or virtual reality simulated experience(s); and/or
predict how the at least one person is or will be in the metaverse, augmented realty, and/or virtual reality simulated experience(s); and/or
predict what form of the metaverse, augmented realty, and/or virtual reality simulated experience(s) that the at least one person is or will be in; and/or
predict who else will be with the at least one person in the metaverse, augmented realty, and/or virtual reality simulated experience(s).
5. The system of claim 1, wherein the system is configured to modify one or more aspects of a metaverse, augmented reality, and/or virtual reality simulated experience(s) to lower a risk(s) of an anxiety-related episode(s) and/or behavior(s) of the at least one person while experiencing the metaverse, augmented reality, and/or virtual reality simulated experience(s).
6. The system of claim 1, wherein the system includes at least one user interface configured towards hiding, obscuring, or otherwise modifying one or more sense-oriented triggers for the at least one person within a metaverse, augmented reality, and/or virtual reality simulated experience(s).
7. The system of claim 6, wherein the at least one user interface is configured for modifying the metaverse, augmented reality, and/or virtual reality simulated experience(s) such that the at least one person experiences a larger virtual room by way of one or more virtual windows being provided that visually display a beach, a forest scene, or other outside environmental scene(s).
8. The system of claim 1, wherein the system is configured to monitor result(s) of the one or more actions to thereby determine effectiveness of risk(s) lowering action(s) and determine modification(s), if any, to profile parameter(s) of the at least one person, risk determination algorithm(s) and/or measurements/readings taken by the plurality of different devices, sensors, other systems, and/or communications network(s) relative to the trigger(s) and/or the anxiety-related episode(s) and/or behavior(s) of the at least one person.
9. The system of claim 1, wherein the system is configured to:
determine, through the plurality of measurements/readings taken by the plurality of different devices, sensors, other systems, and/or communication network(s), underlying root cause(s) and motivation(s) of the anxiety-related episode(s) and/or behavior(s) of the at least one person; and
analyze the measurements/readings, the underlying root cause(s) and motivation(s) of the anxiety-related episode(s) and/or behavior(s) of the at least one person, and (a) the context(s) associated with the anxiety-related episode(s) and/or behavior(s) of the at least one person or (b) the location(s) and the context(s) associated with the anxiety-related episode(s) and/or behavior(s) of the at least one person, to thereby determine a risk(s) of an anxiety-related episode(s) and/or behavior(s) of the at least one person relative to a trigger threshold(s).
10. The system of claim 1, wherein the system is configured to assess, evaluate, and predict a risk(s) of a future occurrence(s) of the anxiety-related episode(s) and/or behavior(s) of the at least one person without requiring the at least one person to actively participate in the assessment, evaluation, and prediction of the risk(s) of the future occurrence(s) of the anxiety-related episode(s) and/or behavior(s) of the at least one person and/or without requiring the at least one person to take the plurality of measurements/readings.
11. The system of claim 1, wherein the system is configured to use a blockchain system or other distributed ledger technology consensus mechanism for privacy protection and security.
12. The system of claim 1, wherein the system is configured to use a blockchain system or other distributed ledger technology for data anonymization.
13. The system claim 1, wherein:
the system is configured to use one or more blockchain components including at least one of a distributed network, an electronic or virtual wallet and/or purse, and/or a user profile; and/or
the system is configured to use artificial intelligence to observe and examine a blockchain trail to make predictions identifying behaviors and/or behavior patterns.
14. The system of claim 1, wherein the system is configured to use a blockchain system or other distributed ledger technology consensus mechanism for storing the data collected by the plurality of different devices, sensors, other systems, and/or communication network(s), determinations made by the system, trigger threshold(s), and/or one or more actions to lower the risk(s) of the anxiety-related episode(s) and/or behavior(s) of the at least one person.
15. The system of claim 1, wherein the system is configured to be operable for determining the underlying root cause(s) and motivation(s) of the anxiety-related episode(s) and/or behavior(s) of the at least one person by monitoring and assessing performance and underlying motivation(s) associated with the anxiety-related episode(s) and/or behavior(s) and associated event(s), activity(ies), and context(s) collected via a distributed geographical computing and/or network environment(s).
16. The system of claim 1, wherein the system is configured to allow additions, deletions, and modifications to the trigger threshold(s) and to the plurality of different devices, sensors, other systems, and/or communications network(s) including modifying one or more of the settings, increasing or decreasing a frequency of data collection, modifying how data is collected, and/or modifying type of data collected.
17. The system of claim 1, wherein the context(s) associated with the anxiety-related episode(s) and/or behavior(s) of the at least one person includes at least three or more 5W1H (who, what, when, where, why, how) attributes.
18. The system of claim 17, wherein the context(s) associated with the anxiety-related episode(s) and/or behavior(s) of the at least one person includes at least one environmental condition.
19. The system of claim 1, wherein the context(s) associated with the anxiety-related episode(s) and/or behavior(s) of the at least one person includes:
where is the location(s) of the at least one person;
when the at least one person is at the location(s); and
an environmental condition at the location(s).
20. The system of claim 1, wherein the context(s) associated with the anxiety-related episode(s) and/or behavior(s) of the at least one person comprises one or more of a situation, an environmental condition, a physical state or condition of the at least one person, and a state of mind of the at least one person.
21. The system of claim 1, wherein the context(s) associated with the anxiety-related episode(s) and/or behavior(s) of the at least one person comprises:
a situation and at least one or more of an environmental condition, a physical state or condition of the at least one person, and a state of mind of the at least one person; or
an environmental condition and at least one or more of a physical state or condition of the at least one person and a state of mind of the at least one person; or
a physical state or condition of the at least one person and a state of mind of the at least one person.
22. The system of claim 1, wherein the context(s) associated with the anxiety-related episode(s) and/or behavior(s) of the at least one person includes at least three or more of:
where is the location(s) of the at least one person;
why the at least one person is at the location(s);
who (if anyone) is virtually and/or actually with the at least one person at the location(s) or nearby the location(s) within audible, visual, and/or electronic detection range of the devices, sensors, and/or communication network(s);
what the at least one person is doing at the location(s);
when the at least one person is at the location(s);
how the at least one person arrived at the location(s) and/or how will the at least one person leave the location(s); and
an environmental condition at the location(s).
23. The system of claim 1, wherein the context(s) associated with the anxiety-related episode(s) and/or behavior(s) of the at least one person includes at least three or more of:
where is the at least one person;
why is the at least one person exhibiting the anxiety-related behavior(s);
who (if anyone) is virtually and/or actually with the at least one person or nearby the at least one person within audible, visual, and/or electronic detection range of the devices, sensors, other systems, and/or communication network(s);
what is the at least one person doing;
when is the at least one person exhibiting the anxiety-related behavior(s);
how is the at least one person exhibiting the anxiety-related behavior(s); and
an environmental condition.
24. The system of claim 1, wherein the system is configured to determine the context(s) associated with the anxiety-related episode(s) and/or behavior(s) of the at least one person including why the at least one person is exhibiting the anxiety-related behavior(s) based on at least one or more of:
where is the at least one person;
who (if anyone) is virtually and/or actually with the at least one person or nearby the at least one person within audible, visual, and/or electronic detection range of the devices, sensors, other systems, and/or communication network(s);
what is the at least one person doing;
when is the at least one person exhibiting the anxiety-related behavior(s);
how is the at least one person exhibiting the anxiety-related behavior(s); and
at least one environmental condition.
25. The system of claim 1, wherein the plurality of different devices, sensors, other systems, and/or communication network(s) comprises at least two different types of devices, sensors, and/or communication network(s) configured to take a plurality of different types of measurements/readings.
26. The system of claim 1, wherein the system is configured to interface with and/or integrate with one or more other systems, thereby allowing data sharing therebetween.
27. A method for proactively pre-empting/mitigating anxiety-related behaviors and associated issues/events, the method comprising:
assessing, using data captured through a plurality of measurements/readings taken by a plurality of different devices, sensors, other systems, and/or communication network(s), a risk(s) of an anxiety-related episode(s) and/or behavior(s) of at least one person and
(a) context(s) associated with the anxiety-related episode(s) and/or behavior(s) of the at least one person; or
(b) location(s) and the context(s) associated with the anxiety-related episode(s) and/or behavior(s) of the at least one person;
analyzing the measurements/readings, the anxiety-related episode(s) and/or behavior(s) of the at least one person, and (a) the context(s) associated with the anxiety-related episode(s) and/or behavior(s) of the at least one person or (b) the location(s) and the context(s) associated with the anxiety-related episode(s) and/or behavior(s) of the at least one person, to thereby determine a risk(s) of an anxiety-related episode(s) and/or behavior(s) of the at least one person relative to a trigger threshold(s); and
facilitating one or more actions to lower the risk(s) of the anxiety-related episode(s) and/or behavior(s) of the at least one person associated with a trigger(s) from reaching or exceeding the trigger threshold(s) associated with the anxiety-related episode(s) and/or behavior(s) of the at least one person before the anxiety-related episode(s) and/or behavior(s) of the at least one person occurs.
28. The method of claim 27, wherein the method includes:
detecting the existence of a metaverse, augmented reality, and/or virtual reality simulated experience(s) for the at least one person; and
predicting when and where the at least one person is or will be in the metaverse, augmented realty, and/or virtual reality simulated experience(s).
29. The method of claim 27, wherein the method includes modifying one or more aspects of a metaverse, augmented reality, and/or virtual reality simulated experience(s) to lower a risk(s) of an anxiety-related episode(s) and/or behavior(s) of the at least one person while experiencing the metaverse, augmented reality, and/or virtual reality simulated experience(s).
30. The method of claim 27, wherein the method includes hiding, obscuring, or otherwise modifying one or more sense-oriented triggers for the at least one person within a metaverse, augmented reality, and/or virtual reality simulated experience(s).
31. The method of claim 30, wherein the method includes modifying the metaverse, augmented reality, and/or virtual reality simulated experience(s) such that the at least one person experiences a larger virtual room by way of one or more virtual windows being provided that visually display a beach, a forest scene, or other outside environmental scene(s).
32. A non-transitory computer-readable storage media comprises computer-executable instructions for proactively pre-empting/mitigating anxiety-related behaviors and associated issues/events, which when executed by at least one processor, cause the at least one processor to be operable for:
assessing, using data captured through a plurality of measurements/readings taken by a plurality of different devices, sensors, other systems, and/or communication network(s), a risk(s) of an anxiety-related episode(s) and/or behavior(s) of at least one person and
(a) context(s) associated with the anxiety-related episode(s) and/or behavior(s) of the at least one person; or
(b) location(s) and the context(s) associated with the anxiety-related episode(s) and/or behavior(s) of the at least one person;
analyzing the measurements/readings, the anxiety-related episode(s) and/or behavior(s) of the at least one person, and (a) the context(s) associated with the anxiety-related episode(s) and/or behavior(s) of the at least one person or (b) the location(s) and the context(s) associated with the anxiety-related episode(s) and/or behavior(s) of the at least one person, to thereby determine a risk(s) of an anxiety-related episode(s) and/or behavior(s) of the at least one person relative to a trigger threshold(s); and
facilitating one or more actions to lower the risk(s) of the anxiety-related episode(s) and/or behavior(s) of the at least one person associated with a trigger(s) from reaching or exceeding the trigger threshold(s) associated with the anxiety-related episode(s) and/or behavior(s) of the at least one person before the anxiety-related episode(s) and/or behavior(s) of the at least one person occurs.
33. The non-transitory computer-readable storage media of claim 32, wherein the computer-executable instructions when executed by at least one processor, cause the at least one processor to be operable for:
detecting the existence of a metaverse, augmented reality, and/or virtual reality simulated experience(s) for the at least one person; and
predicting when and where the at least one person is or will be in the metaverse, augmented realty, and/or virtual reality simulated experience(s).
34. The non-transitory computer-readable storage media of claim 32, wherein the computer-executable instructions when executed by at least one processor, cause the at least one processor to be operable for modifying one or more aspects of a metaverse, augmented reality, and/or virtual reality simulated experience(s) to lower a risk(s) of an anxiety-related episode(s) and/or behavior(s) of the at least one person while experiencing the metaverse, augmented reality, and/or virtual reality simulated experience(s).
35. The non-transitory computer-readable storage media of claim 32, wherein the computer-executable instructions when executed by at least one processor, cause the at least one processor to be operable for hiding, obscuring, or otherwise modifying one or more sense-oriented triggers for the at least one person within a metaverse, augmented reality, and/or virtual reality simulated experience(s).
36. The non-transitory computer-readable storage media of claim 35, wherein the computer-executable instructions when executed by at least one processor, cause the at least one processor to be operable for modifying the metaverse, augmented reality, and/or virtual reality simulated experience(s) such that the at least one person experiences a larger virtual room by way of one or more virtual windows being provided that visually display a beach, a forest scene, or other outside environmental scene(s).</t>
  </si>
  <si>
    <t>Williams, David H.|Williams, Adam H.</t>
  </si>
  <si>
    <t>H04W0004029000</t>
  </si>
  <si>
    <t>H04W0004029000 | G06Q0050265000 | A61B0005165000 | H04W0004021000</t>
  </si>
  <si>
    <t>H04W00402900</t>
  </si>
  <si>
    <t>H04W00402900 | G06Q05026000 | A61B00516000 | H04W00402100</t>
  </si>
  <si>
    <t>US20230007439 A1</t>
  </si>
  <si>
    <t>I-000233886060</t>
  </si>
  <si>
    <t>20 years from 2017-12-13 (file date of patent US10555112)</t>
  </si>
  <si>
    <t>https://patentscout.innography.com/share/Pb1u3JOGVjtRxczUVlyY_A%3D%3D</t>
  </si>
  <si>
    <t>https://patentscout.innography.com/share/Pb1u3JOGVjtRxczUVlyY_A%3D%3D/download</t>
  </si>
  <si>
    <t>https://ppubs.uspto.gov/pubwebapp/external.html?q=20230007439.pn.</t>
  </si>
  <si>
    <t>1. A system for proactively pre-empting/mitigating anxiety-related behaviors and associated issues/events, the system configured to:
assess, using data captured through a plurality of measurements/readings taken by a plurality of different devices, sensors, other systems, and/or communication network(s), a risk(s) of an anxiety-related episode(s) and/or behavior(s) of at least one person and
(a) context(s) associated with the anxiety-related episode(s) and/or behavior(s) of the at least one person; or
(b) location(s) and the context(s) associated with the anxiety-related episode(s) and/or behavior(s) of the at least one person;
analyze the measurements/readings, the anxiety-related episode(s) and/or behavior(s) of the at least one person, and (a) the context(s) associated with the anxiety-related episode(s) and/or behavior(s) of the at least one person or (b) the location(s) and the context(s) associated with the anxiety-related episode(s) and/or behavior(s) of the at least one person, to thereby determine a risk(s) of an anxiety-related episode(s) and/or behavior(s) of the at least one person relative to a trigger threshold(s); and
facilitate one or more actions to lower the risk(s) of the anxiety-related episode(s) and/or behavior(s) of the at least one person associated with a trigger(s) from reaching or exceeding the trigger threshold(s) associated with the anxiety-related episode(s) and/or behavior(s) of the at least one person before the anxiety-related episode(s) and/or behavior(s) of the at least one person occurs.</t>
  </si>
  <si>
    <t>27. A method for proactively pre-empting/mitigating anxiety-related behaviors and associated issues/events, the method comprising:
assessing, using data captured through a plurality of measurements/readings taken by a plurality of different devices, sensors, other systems, and/or communication network(s), a risk(s) of an anxiety-related episode(s) and/or behavior(s) of at least one person and
(a) context(s) associated with the anxiety-related episode(s) and/or behavior(s) of the at least one person; or
(b) location(s) and the context(s) associated with the anxiety-related episode(s) and/or behavior(s) of the at least one person;
analyzing the measurements/readings, the anxiety-related episode(s) and/or behavior(s) of the at least one person, and (a) the context(s) associated with the anxiety-related episode(s) and/or behavior(s) of the at least one person or (b) the location(s) and the context(s) associated with the anxiety-related episode(s) and/or behavior(s) of the at least one person, to thereby determine a risk(s) of an anxiety-related episode(s) and/or behavior(s) of the at least one person relative to a trigger threshold(s); and
facilitating one or more actions to lower the risk(s) of the anxiety-related episode(s) and/or behavior(s) of the at least one person associated with a trigger(s) from reaching or exceeding the trigger threshold(s) associated with the anxiety-related episode(s) and/or behavior(s) of the at least one person before the anxiety-related episode(s) and/or behavior(s) of the at least one person occurs.</t>
  </si>
  <si>
    <t>32. A non-transitory computer-readable storage media comprises computer-executable instructions for proactively pre-empting/mitigating anxiety-related behaviors and associated issues/events, which when executed by at least one processor, cause the at least one processor to be operable for:
assessing, using data captured through a plurality of measurements/readings taken by a plurality of different devices, sensors, other systems, and/or communication network(s), a risk(s) of an anxiety-related episode(s) and/or behavior(s) of at least one person and
(a) context(s) associated with the anxiety-related episode(s) and/or behavior(s) of the at least one person; or
(b) location(s) and the context(s) associated with the anxiety-related episode(s) and/or behavior(s) of the at least one person;
analyzing the measurements/readings, the anxiety-related episode(s) and/or behavior(s) of the at least one person, and (a) the context(s) associated with the anxiety-related episode(s) and/or behavior(s) of the at least one person or (b) the location(s) and the context(s) associated with the anxiety-related episode(s) and/or behavior(s) of the at least one person, to thereby determine a risk(s) of an anxiety-related episode(s) and/or behavior(s) of the at least one person relative to a trigger threshold(s); and
facilitating one or more actions to lower the risk(s) of the anxiety-related episode(s) and/or behavior(s) of the at least one person associated with a trigger(s) from reaching or exceeding the trigger threshold(s) associated with the anxiety-related episode(s) and/or behavior(s) of the at least one person before the anxiety-related episode(s) and/or behavior(s) of the at least one person occurs.</t>
  </si>
  <si>
    <t>WO2022131602 A1</t>
  </si>
  <si>
    <t>2010-04-30</t>
  </si>
  <si>
    <t>2012-02-29</t>
  </si>
  <si>
    <t>2008-10-17</t>
  </si>
  <si>
    <t>A message linkage apparatus method and system capable of exchanging information between a user of a message dialogue server and a user of a three-dimensional virtual space server in almost real time.  A message linkage device 10 as a messenger server 40 receives a message from a terminal 60a of one user who is online with the message linkage device 10 and the other user specified as a destination of the received message. When the terminal 60b is not connected to the messenger server 40 the terminal 60b communicates with the metaverse server 50 connected via the communication network to check whether the other user&amp;#39;s terminal 60b is logged in with the metaverse server 50. Then when it is confirmed that the other user&amp;#39;s terminal 60b is logged in to the metaverse server 50 the message received from the one user&amp;#39;s terminal 60a is transmitted to the metaverse server 50.  [Selection] Figure 1</t>
  </si>
  <si>
    <t>Message cooperation device, method and system</t>
  </si>
  <si>
    <t>JP2008268418A</t>
  </si>
  <si>
    <t>A message linkage device that realizes communication between users via a terminal connectable via a communication network,  Message receiving means for receiving a message from a terminal of one user in a connected state with a message cooperation device as a message dialogue server for realizing the communication;  When the terminal of the other user designated as the destination of the received message is not connected to the message dialogue server, the other terminal communicates with the three-dimensional virtual space server connected via the communication network, and A connection state confirmation means for confirming whether the terminal of the user is connected to the three-dimensional virtual space server;  When the connection status confirmation means confirms that the terminal of the other user is connected to the 3D virtual space server, a message received from the terminal of the one user is sent to the 3D virtual space server. A message transfer means to send;  A message linkage apparatus comprising:
A message linkage device that realizes communication between users via a terminal connectable via a communication network,  Message receiving means for receiving a message from a terminal of one user in a connected state with a message cooperation device as a three-dimensional virtual space server for realizing the communication;  When the terminal of the other user designated as the destination of the received message is not connected to the three-dimensional virtual space server, the other user terminal communicates with the message dialog server connected via the communication network, and A connection state confirmation means for confirming whether or not the terminal of the user is connected to the message dialogue server;  Message transfer for transmitting a message received from the terminal of one user to the message dialogue server when the connection status confirmation means confirms that the terminal of the other user is connected to the message dialogue server Means,  A message linkage apparatus comprising:
User management storage means for associating user identification information for identifying a user in the message dialogue server and user identification information for identifying a user in the three-dimensional virtual space server;  The connection state confirmation unit acquires the user identification information in the three-dimensional virtual space server associated with the user identification information in the message dialogue server of the other user based on the user management storage unit, and acquires the acquired 2. The message linkage apparatus according to claim 1, wherein whether or not the terminal of the other user is connected to the three-dimensional virtual space server is confirmed based on user identification information in the three-dimensional virtual space server.
User management storage means for associating user identification information for identifying a user in the message dialogue server and user identification information for identifying a user in the three-dimensional virtual space server;  The connection state confirmation means obtains user identification information in the message dialogue server associated with user identification information in the other user's three-dimensional virtual space server based on the user management storage means, and obtains the obtained message 3. The message linkage apparatus according to claim 2, wherein whether or not the terminal of the other user is connected to the message dialogue server is confirmed based on user identification information in the dialogue server.
A method for realizing communication between users via a terminal connectable via a communication network,  Receiving a message from a terminal of one user in a connected state with a message cooperation device as a message dialogue server for realizing the communication;  When the terminal of the other user designated as the destination of the received message is not connected to the message dialogue server, the other terminal communicates with the three-dimensional virtual space server connected via the communication network, and Confirming whether the terminal of the user is connected to the three-dimensional virtual space server;  When the step of confirming the connection state confirms that the terminal of the other user is connected to the three-dimensional virtual space server, a message received from the terminal of the one user is transmitted to the three-dimensional virtual space. Sending to the server;  A method comprising the steps of:
A method for realizing communication between users via a terminal connectable via a communication network,  Receiving a message from a terminal of one user in a connected state with a message cooperation device as a three-dimensional virtual space server for realizing the communication;  When the terminal of the other user designated as the destination of the received message is not connected to the three-dimensional virtual space server, the other user terminal communicates with the message dialog server connected via the communication network, and Confirming whether the terminal of the user is connected to the message dialogue server;  When the step of confirming the connection state confirms that the terminal of the other user is connected to the message interaction server, the message received from the terminal of the one user is transmitted to the message interaction server. Steps,  A method comprising the steps of:
A message linkage system for transferring a message between a message dialogue server for realizing communication between users via a terminal connectable via a communication network and a three-dimensional virtual space server,  When the message dialogue server operates as a message linkage device,  Message receiving means for receiving a message from a terminal of one of the users connected to the message dialogue server;  When the other user terminal designated as the destination of the received message is not connected to the message dialogue server, the other user terminal communicates with the three-dimensional virtual space server and the other user terminal A connection state confirmation means for confirming whether or not the virtual space server is connected,  When the connection status confirmation means confirms that the terminal of the other user is connected to the 3D virtual space server, a message received from the terminal of the one user is sent to the 3D virtual space server. A message transfer means for transmitting,  When the three-dimensional virtual space server operates as a message linkage device,  Virtual message receiving means for receiving a message from the terminal of the other user connected to the three-dimensional virtual space server;  When the terminal of one user designated as the destination of the received message is not connected to the three-dimensional virtual space server, the terminal of the one user communicates with the message dialog server and the message dialog A virtual connection status confirmation means for confirming whether the server is connected or not;  A virtual message that transmits a message received from the terminal of the other user to the message dialogue server when the connection status confirmation means confirms that the terminal of the one user is connected to the message dialogue server. Transfer means;  A message linkage system comprising:</t>
  </si>
  <si>
    <t>Miyazaki, Yu</t>
  </si>
  <si>
    <t>JP4885188 B2</t>
  </si>
  <si>
    <t>G06F01300000 | H04L01258000</t>
  </si>
  <si>
    <t>JP2010097465A|JP4885188B2</t>
  </si>
  <si>
    <t>JP2010097465 A | JP4885188 B2</t>
  </si>
  <si>
    <t>I-000089211750</t>
  </si>
  <si>
    <t>Application expired due to grant (JP4885188 B2)</t>
  </si>
  <si>
    <t>https://patentscout.innography.com/share/oLwfyst5SPO0AdZ0M8wJDg%3D%3D</t>
  </si>
  <si>
    <t>2011-10-27-REPORT ON RETRIEVAL|2011-10-28-DECISION OF GRANT OR REJECTION WRITTEN|2011-11-09-WRITTEN DECISION TO GRANT A PATENT OR TO GRANT A REGISTRATION (UTILITY MODEL)|2011-11-10-WRITTEN DECISION TO GRANT A PATENT OR TO GRANT A REGISTRATION (UTILITY MODEL)|2011-12-15-FIRST PAYMENT OF ANNUAL FEES (DURING GRANT PROCEDURE)|2011-12-16-CERTIFICATE OF PATENT OR REGISTRATION OF UTILITY MODEL|2011-12-16-RENEWAL FEE PAYMENT (EVENT DATE IS RENEWAL DATE OF DATABASE)|2011-12-16-CERTIFICATE OF PATENT OR REGISTRATION OF UTILITY MODEL|2014-12-02-RECEIPT OF ANNUAL FEES|2015-10-20-RECEIPT OF ANNUAL FEES|2016-10-25-RECEIPT OF ANNUAL FEES|2016-11-21-WRITTEN REQUEST FOR REGISTRATION OF CHANGE OF DOMICILE|2016-11-30-WRITTEN NOTIFICATION OF REGISTRATION OF TRANSFER|2017-10-17-RECEIPT OF ANNUAL FEES|2018-10-16-RECEIPT OF ANNUAL FEES|2019-10-29-WRITTEN REQUEST FOR REGISTRATION OF CHANGE OF NAME|2019-12-16-CANCELLATION BECAUSE OF NO PAYMENT OF ANNUAL FEES|2019-12-25-WRITTEN NOTIFICATION OF REGISTRATION OF TRANSFER|2020-03-03-REQUEST FOR CHANGE OF OWNERSHIP OR PART OF OWNERSHIP|2020-03-11-WRITTEN NOTIFICATION OF REGISTRATION OF TRANSFER</t>
  </si>
  <si>
    <t>https://patentscout.innography.com/share/oLwfyst5SPO0AdZ0M8wJDg%3D%3D/download</t>
  </si>
  <si>
    <t>https://v3.espacenet.com/publicationDetails/biblio?CC=JP&amp;NR=2010097465A&amp;KC=A&amp;FT=D&amp;date=20100430&amp;DB=EPODOC&amp;locale=</t>
  </si>
  <si>
    <t>JP2010097465 A</t>
  </si>
  <si>
    <t>1. A message linkage device that realizes communication between users via a terminal connectable via a communication network,  Message receiving means for receiving a message from a terminal of one user in a connected state with a message cooperation device as a message dialogue server for realizing the communication;  When the terminal of the other user designated as the destination of the received message is not connected to the message dialogue server, the other terminal communicates with the three-dimensional virtual space server connected via the communication network, and A connection state confirmation means for confirming whether the terminal of the user is connected to the three-dimensional virtual space server;  When the connection status confirmation means confirms that the terminal of the other user is connected to the 3D virtual space server, a message received from the terminal of the one user is sent to the 3D virtual space server. A message transfer means to send;  A message linkage apparatus comprising:</t>
  </si>
  <si>
    <t>2. A message linkage device that realizes communication between users via a terminal connectable via a communication network,  Message receiving means for receiving a message from a terminal of one user in a connected state with a message cooperation device as a three-dimensional virtual space server for realizing the communication;  When the terminal of the other user designated as the destination of the received message is not connected to the three-dimensional virtual space server, the other user terminal communicates with the message dialog server connected via the communication network, and A connection state confirmation means for confirming whether or not the terminal of the user is connected to the message dialogue server;  Message transfer for transmitting a message received from the terminal of one user to the message dialogue server when the connection status confirmation means confirms that the terminal of the other user is connected to the message dialogue server Means,  A message linkage apparatus comprising:</t>
  </si>
  <si>
    <t>5. A method for realizing communication between users via a terminal connectable via a communication network,  Receiving a message from a terminal of one user in a connected state with a message cooperation device as a message dialogue server for realizing the communication;  When the terminal of the other user designated as the destination of the received message is not connected to the message dialogue server, the other terminal communicates with the three-dimensional virtual space server connected via the communication network, and Confirming whether the terminal of the user is connected to the three-dimensional virtual space server;  When the step of confirming the connection state confirms that the terminal of the other user is connected to the three-dimensional virtual space server, a message received from the terminal of the one user is transmitted to the three-dimensional virtual space. Sending to the server;  A method comprising the steps of:</t>
  </si>
  <si>
    <t>6. A method for realizing communication between users via a terminal connectable via a communication network,  Receiving a message from a terminal of one user in a connected state with a message cooperation device as a three-dimensional virtual space server for realizing the communication;  When the terminal of the other user designated as the destination of the received message is not connected to the three-dimensional virtual space server, the other user terminal communicates with the message dialog server connected via the communication network, and Confirming whether the terminal of the user is connected to the message dialogue server;  When the step of confirming the connection state confirms that the terminal of the other user is connected to the message interaction server, the message received from the terminal of the one user is transmitted to the message interaction server. Steps,  A method comprising the steps of:</t>
  </si>
  <si>
    <t>7. A message linkage system for transferring a message between a message dialogue server for realizing communication between users via a terminal connectable via a communication network and a three-dimensional virtual space server,  When the message dialogue server operates as a message linkage device,  Message receiving means for receiving a message from a terminal of one of the users connected to the message dialogue server;  When the other user terminal designated as the destination of the received message is not connected to the message dialogue server, the other user terminal communicates with the three-dimensional virtual space server and the other user terminal A connection state confirmation means for confirming whether or not the virtual space server is connected,  When the connection status confirmation means confirms that the terminal of the other user is connected to the 3D virtual space server, a message received from the terminal of the one user is sent to the 3D virtual space server. A message transfer means for transmitting,  When the three-dimensional virtual space server operates as a message linkage device,  Virtual message receiving means for receiving a message from the terminal of the other user connected to the three-dimensional virtual space server;  When the terminal of one user designated as the destination of the received message is not connected to the three-dimensional virtual space server, the terminal of the one user communicates with the message dialog server and the message dialog A virtual connection status confirmation means for confirming whether the server is connected or not;  A virtual message that transmits a message received from the terminal of the other user to the message dialogue server when the connection status confirmation means confirms that the terminal of the one user is connected to the message dialogue server. Transfer means;  A message linkage system comprising:</t>
  </si>
  <si>
    <t>2019-12-16</t>
  </si>
  <si>
    <t>PROBLEM TO BE SOLVED: To provide a message cooperation device method and system allowing nearly real-time information exchange between a user of a message interaction server and a user of a three-dimensional virtual space server.    SOLUTION: This message cooperation device 10 as a messenger server 40 receives a message from a terminal 60a of one user in an online state with the message cooperation device 10 communicates with a metaverse server 50 connected via a communication network when a terminal 60b of the other user designated as a transmission destination of the received message is not in a connection state with the messenger server 40 confirms whether the terminal 60b of the other user is in a login state with the metaverse server 50 and transmits the message received from the terminal 60a of the one user to the metaverse server 50 when it is confirmed that the terminal 60b of the other user is in the login state to the metaverse server 50.    COPYRIGHT: (C)2010JPO&amp;INPIT</t>
  </si>
  <si>
    <t>Message linkage apparatus, method and system</t>
  </si>
  <si>
    <t>https://patentscout.innography.com/share/V30ekEOP_oowmpAZ5E6M0Q%3D%3D</t>
  </si>
  <si>
    <t>https://patentscout.innography.com/share/V30ekEOP_oowmpAZ5E6M0Q%3D%3D/download</t>
  </si>
  <si>
    <t>https://v3.espacenet.com/publicationDetails/biblio?CC=JP&amp;NR=4885188B2&amp;KC=B2&amp;FT=D&amp;date=20120229&amp;DB=EPODOC&amp;locale=</t>
  </si>
  <si>
    <t>US3884475 A | US5009429 A | US5071135 A | US5380011 A | US5388836 A | US5829746 A | US7275745 B2 | US7720733 B2 | US20060178217 A1 | US20060178899 A1 | US20060178964 A1 | US20060178972 A1 | US20060190282 A1 | US20060190283 A1 | US20060190284 A1 | US20070106576 A1 | US20070136185 A1 | US20070203725 A1 | US20070203817 A1</t>
  </si>
  <si>
    <t>US10210767 B2 | US10217375 B2 | US10861035 B2 | US10929335 B2 | US11138580 B1 | US11141664 B1 | US11207604 B1 | US11260304 B1 | US11270327 B2 | US11501324 B2 | US20140295941 A1 | US9480915 B2 | US20090097630 A1 | US20100312739 A1 | US8311204 B2 | US8412662 B2</t>
  </si>
  <si>
    <t>2008-03-20</t>
  </si>
  <si>
    <t>2013-12-17</t>
  </si>
  <si>
    <t>2007-03-29</t>
  </si>
  <si>
    <t>A virtual environment in which characters are able to engage in a variety of financial transactions is provided. Characters who are unable to fulfill their financial obligations may enter into bankruptcy. Bankruptcy contracts may identify various conditions which must be fulfilled by the character in order to get out of bankruptcy. While in bankruptcy the player&amp;#39;s avatar or avatar&amp;#39;s may be altered to indicate to the player and/or others that the character represented by the avatar is in bankruptcy.</t>
  </si>
  <si>
    <t>Bankruptcy in a virtual environment</t>
  </si>
  <si>
    <t>bankruptcy|avatar|player account</t>
  </si>
  <si>
    <t>US11/693530</t>
  </si>
  <si>
    <t xml:space="preserve">A method comprising: 
providing a metaverse wherein players interact with the environment and each other via avatars; 
determining that a character has fulfilled a set of bankruptcy conditions; 
determining and storing conditions for the character to emerge from virtual bankruptcy; and 
identifying the character as being bankrupt. 
</t>
  </si>
  <si>
    <t>1. A method comprising: 
providing a metaverse wherein players interact with the environment and each other via avatars; 
determining that a character has fulfilled a set of bankruptcy conditions; 
determining and storing conditions for the character to emerge from virtual bankruptcy; and 
identifying the character as being bankrupt. 
2. The method of claim 1 further comprising outputting conditions to emerge from virtual bankruptcy to the character. 
3. The method of claim 1 wherein identifying the avatar as being bankrupt comprises updating a player account associated with the character so as to indicate that the character is bankrupt. 
4. The method of claim 1 wherein identifying the character as being bankrupt comprises altering a player's perception of the character's avatar. 
5. The method of claim 4 wherein the player is the player controlling the character. 
6. The method of claim 4 wherein the player is a player who is not controlling the character. 
7. The method of claim 4 wherein altering a player's perception of the character's avatar comprises altering the physical image of the avatar. 
8. The method of claim 4 wherein altering a player's perception of the character's avatar comprises: 
producing an audible signal; and 
associating the audible signal with the avatar's presence. 
9. The method of claim 1 further comprising: 
receiving an indication that a character has satisfied the conditions; and 
identifying the character as no longer being bankrupt. 
10. The method of claim 9 wherein identifying the character as no longer being bankrupt comprises restoring the avatar to its original condition. 
11. The method of claim 9 wherein identifying the character as no longer being bankrupt comprises updating a player account associated with the character. 
12. A method comprising: 
providing a metaverse wherein players interact with the environment and each other via characters; 
determining that a character is bankrupt; 
generating a list of the character's creditors; 
identifying a set of conditions for removing the character from bankruptcy; 
creating a bankruptcy contract identifying the obligations; and 
outputting the bankruptcy contract to the character and the character's creditors. 
13. The method of claim 12 further comprising: 
identifying a player account associated with the character; and 
limiting usage of the account until the conditions are fulfilled. 
14. The method of claim further comprising: 
generating a bankruptcy escrow account for the character; 
determining that the character has accumulated virtual assets; and 
placing the virtual assets in the escrow account. 
15. The method of claim 12 further comprising: 
determining that the character has fulfilled the conditions; and 
terminating the bankruptcy contract. 
16. The method of claim 12 further comprising: 
determining if the bankruptcy contract requires alteration of the character's avatar while the character is bankrupt; and 
altering the character's avatar according to the terms of the contract. 
17. The method of claim 16 further comprising: 
determining if the character has fulfilled the conditions of the bankruptcy contract; and 
restoring the avatar to its pre-bankruptcy condition. 
18. A method comprising: 
providing a metaverse wherein players interact with the environment and each other via characters; 
receiving a request from a player to create a player account; 
receiving player information from the player; and 
determining, based on the player information, that the player has previously controlled a character who entered bankruptcy. 
19. The method of claim 18 further comprising denying the player's request to create a player account if the player has previously controlled a character that entered bankruptcy. 
20. The method of claim 18 further comprising: 
if the player has previously controlled a character that entered into bankruptcy; 
allowing the player to create a player account; and 
flagging the player account as being at risk for bankruptcy.</t>
  </si>
  <si>
    <t>US8608536 B2</t>
  </si>
  <si>
    <t>G07F0017320000</t>
  </si>
  <si>
    <t>G07F0017320000 | G07F0017324400 | G07F0017328100</t>
  </si>
  <si>
    <t>US20080070689A1|US8608536B2|US20140106883A1</t>
  </si>
  <si>
    <t>I-000070441530</t>
  </si>
  <si>
    <t>Application expired due to grant (US8608536 B2)</t>
  </si>
  <si>
    <t>https://patentscout.innography.com/share/-NBy-ZebiTfR8x2GkArJ9w%3D%3D</t>
  </si>
  <si>
    <t>2007-05-04-ASSIGNMENT (LEVIATHAN ENTERTAINMENT)|2017-07-28-MAINTENANCE FEE REMINDER MAILED|2018-01-15-LAPSE FOR FAILURE TO PAY MAINTENANCE FEES|2018-01-19-INFORMATION ON STATUS: PATENT DISCONTINUATION|2018-02-06-EXPIRED DUE TO FAILURE TO PAY MAINTENANCE FEE</t>
  </si>
  <si>
    <t>https://patentscout.innography.com/share/-NBy-ZebiTfR8x2GkArJ9w%3D%3D/download</t>
  </si>
  <si>
    <t>https://ppubs.uspto.gov/pubwebapp/external.html?q=20080070689.pn.</t>
  </si>
  <si>
    <t>US20080070689 A1</t>
  </si>
  <si>
    <t>102 | US07/537052 | CTNF
102 | US11/364498 | CTNF
102 | US203725D | CTNF</t>
  </si>
  <si>
    <t>103 | US08/069355 | CTNF
103 | US11/234867 | CTNF
103 | US190284D | CTNF</t>
  </si>
  <si>
    <t>Unassigned
Intellectual Ventures Management, LLC
Unassigned</t>
  </si>
  <si>
    <t>Unassigned
Intellectual Ventures Management, LLC
Cooper Hewitt Electric Co</t>
  </si>
  <si>
    <t>2011-03-17</t>
  </si>
  <si>
    <t>2013-04-12</t>
  </si>
  <si>
    <t>1. A method comprising: 
providing a metaverse wherein players interact with the environment and each other via avatars; 
determining that a character has fulfilled a set of bankruptcy conditions; 
determining and storing conditions for the character to emerge from virtual bankruptcy; and 
identifying the character as being bankrupt.</t>
  </si>
  <si>
    <t>12. A method comprising: 
providing a metaverse wherein players interact with the environment and each other via characters; 
determining that a character is bankrupt; 
generating a list of the character's creditors; 
identifying a set of conditions for removing the character from bankruptcy; 
creating a bankruptcy contract identifying the obligations; and 
outputting the bankruptcy contract to the character and the character's creditors.</t>
  </si>
  <si>
    <t>14. The method of claim further comprising: 
generating a bankruptcy escrow account for the character; 
determining that the character has accumulated virtual assets; and 
placing the virtual assets in the escrow account.</t>
  </si>
  <si>
    <t>18. A method comprising: 
providing a metaverse wherein players interact with the environment and each other via characters; 
receiving a request from a player to create a player account; 
receiving player information from the player; and 
determining, based on the player information, that the player has previously controlled a character who entered bankruptcy.</t>
  </si>
  <si>
    <t>US3884475 A | US5009429 A | US5071135 A | US5380011 A | US5388836 A | US5829746 A | US7275745 B2 | US7720733 B2 | US20060178972 A1 | US20060190284 A1 | US20070106576 A1 | US20070136185 A1 | US20070203725 A1 | US20070203817 A1 | US20060178217 A1 | US20060178899 A1 | US20060178964 A1 | US20060190282 A1 | US20060190283 A1</t>
  </si>
  <si>
    <t>US20140106883 A1 | WO2017161440 A1</t>
  </si>
  <si>
    <t>2018-01-15</t>
  </si>
  <si>
    <t>bankruptcy|avatar|game environment</t>
  </si>
  <si>
    <t xml:space="preserve">A method performed by a computer, the method comprising:
providing, by the computer, a metaverse wherein players interact with a game environment;
determining, by the computer, that a character in the game environment has fulfilled a set of bankruptcy conditions;
after determining that the character has fulfilled the set of bankruptcy conditions, determining, by the computer, and storing conditions for the character to emerge from a virtual bankruptcy;
identifying, by the computer, the character as being bankrupt by altering the image of an avatar of the character;
receiving an indication that a character has satisfied the conditions for the character to emerge from virtual bankruptcy; and
restoring the avatar to its original image.
</t>
  </si>
  <si>
    <t>1. A method performed by a computer, the method comprising:
providing, by the computer, a metaverse wherein players interact with a game environment;
determining, by the computer, that a character in the game environment has fulfilled a set of bankruptcy conditions;
after determining that the character has fulfilled the set of bankruptcy conditions, determining, by the computer, and storing conditions for the character to emerge from a virtual bankruptcy;
identifying, by the computer, the character as being bankrupt by altering the image of an avatar of the character;
receiving an indication that a character has satisfied the conditions for the character to emerge from virtual bankruptcy; and
restoring the avatar to its original image.
2. The method of claim 1 further comprising
outputting the conditions for the character to to emerge from virtual bankruptcy to the character.
3. The method of claim 1 wherein identifying the avatar as being bankrupt comprises
updating a player account associated with the character so as to indicate that the character is bankrupt.
4. The method of claim 1, further comprising:
producing an audible signal; and
associating the audible signal with the avatar's presence.
5. A method performed by a computer, the method comprising:
providing, by the computer, a metaverse wherein players interact with a game environment;
determining, by the computer, that a character in the game environment is bankrupt;
generating, by the computer, a list of creditors of the character;
identifying, by the computer, a set of conditions for removing the character from bankruptcy;
creating, by the computer, a bankruptcy contract identifying the conditions;
outputting, by the computer, the bankruptcy contract to the character and the creditors from the list of creditors;
determining that the bankruptcy contract requires alteration of an avatar of the character while the character is bankrupt;
altering the character's avatar according to the terms of the contract;
determining subsequently that the character has fulfilled the conditions of the bankruptcy contract; and
restoring the character's avatar to its pre-bankruptcy condition.
6. The method of claim 5 further comprising:
identifying a player account associated with the character; and
limiting usage of the account until the conditions are fulfilled.
7. The method of claim 5 further comprising:
generating a bankruptcy escrow account for the character;
determining that the character has accumulated virtual assets; and
placing the virtual assets in the escrow account.
8. The method of claim 5 further comprising:
determining that the character has fulfilled the conditions; and
terminating the bankruptcy contract.
9. A method performed by a computer, the method comprising:
providing, by the computer, a metaverse wherein players interact with a game environment;
receiving, by the computer, a request from a player to create a player account in the game environment;
responsive to the player's request to create a player account in the game environment, receiving, by the computer, player personal information from the player; and
determining, by the computer, based on the player personal information, that the player has previously controlled a character in the game environment who entered bankruptcy.
10. The method of claim 9 further comprising
denying the player's request to create a player account if the player has previously controlled a character that entered bankruptcy.
11. The method of claim 9 further comprising:
if the player has previously controlled a character that entered into bankruptcy; allowing the player to create a player account; and
flagging the player account as being at risk for bankruptcy.</t>
  </si>
  <si>
    <t>Van Luchene, Andrew S|Mueller, Raymond J</t>
  </si>
  <si>
    <t>463009000|463031000</t>
  </si>
  <si>
    <t>https://patentscout.innography.com/share/IpLr-D0jUc79qUUp1AbyeA%3D%3D</t>
  </si>
  <si>
    <t>https://patentscout.innography.com/share/IpLr-D0jUc79qUUp1AbyeA%3D%3D/download</t>
  </si>
  <si>
    <t>https://ppubs.uspto.gov/pubwebapp/external.html?q=8608536.pn.</t>
  </si>
  <si>
    <t>1. A method performed by a computer, the method comprising:
providing, by the computer, a metaverse wherein players interact with a game environment;
determining, by the computer, that a character in the game environment has fulfilled a set of bankruptcy conditions;
after determining that the character has fulfilled the set of bankruptcy conditions, determining, by the computer, and storing conditions for the character to emerge from a virtual bankruptcy;
identifying, by the computer, the character as being bankrupt by altering the image of an avatar of the character;
receiving an indication that a character has satisfied the conditions for the character to emerge from virtual bankruptcy; and
restoring the avatar to its original image.</t>
  </si>
  <si>
    <t>5. A method performed by a computer, the method comprising:
providing, by the computer, a metaverse wherein players interact with a game environment;
determining, by the computer, that a character in the game environment is bankrupt;
generating, by the computer, a list of creditors of the character;
identifying, by the computer, a set of conditions for removing the character from bankruptcy;
creating, by the computer, a bankruptcy contract identifying the conditions;
outputting, by the computer, the bankruptcy contract to the character and the creditors from the list of creditors;
determining that the bankruptcy contract requires alteration of an avatar of the character while the character is bankrupt;
altering the character's avatar according to the terms of the contract;
determining subsequently that the character has fulfilled the conditions of the bankruptcy contract; and
restoring the character's avatar to its pre-bankruptcy condition.</t>
  </si>
  <si>
    <t>9. A method performed by a computer, the method comprising:
providing, by the computer, a metaverse wherein players interact with a game environment;
receiving, by the computer, a request from a player to create a player account in the game environment;
responsive to the player's request to create a player account in the game environment, receiving, by the computer, player personal information from the player; and
determining, by the computer, based on the player personal information, that the player has previously controlled a character in the game environment who entered bankruptcy.</t>
  </si>
  <si>
    <t>2020-05-19</t>
  </si>
  <si>
    <t>2018-11-12</t>
  </si>
  <si>
    <t>2019-11-11</t>
  </si>
  <si>
    <t>2039-11-11</t>
  </si>
  <si>
    <t>2020-05-14</t>
  </si>
  <si>
    <t>The invention discloses a virtual reality controller which comprises a handle a side shell and a switch. The side shell has a fixed portion and a flexible portion. The fixed portion is fixed to the handle and the side shell extends toward the handle in a contour conforming to the shape of the palm center. The switch is arranged between the handle and the side shell. When the handle and the side shell are held and a force is applied to the flexible portion relative to the handle the flexible portion deforms to trigger the switch. In other words when the handle and the side shell are held and a force is applied to the side of the handle away from the flexible portion relative to the flexible portion the flexible portion abutting against the palm core is deformed to trigger the switch.</t>
  </si>
  <si>
    <t>Virtual reality controller</t>
  </si>
  <si>
    <t>virtual reality|reality controller|reality|side shell|flexible portion|fixed portion</t>
  </si>
  <si>
    <t>CN201911093597A</t>
  </si>
  <si>
    <t xml:space="preserve">A metaverse controller adapted to sense motion in three-dimensional space, the metaverse controller comprising:a handle;a side shell having a fixed portion and a flexible portion, wherein the fixed portion is fixed to the handle and the side shell extends toward the handle with a contour conforming to a shape of a palm of a hand; anda switch disposed between the handle and the side shell, wherein when the handle and the side shell are held and a force is applied to the flexible portion relative to the handle, the flexible portion deforms to trigger the switch.
</t>
  </si>
  <si>
    <t>1. A metaverse controller adapted to sense motion in three-dimensional space, the metaverse controller comprising:a handle;a side shell having a fixed portion and a flexible portion, wherein the fixed portion is fixed to the handle and the side shell extends toward the handle with a contour conforming to a shape of a palm of a hand; anda switch disposed between the handle and the side shell, wherein when the handle and the side shell are held and a force is applied to the flexible portion relative to the handle, the flexible portion deforms to trigger the switch.
2. The metaverse controller of claim 1, wherein the handle extends toward the side shell in a contour conforming to a shape of a palm center.
3. The metaverse controller of claim 1, wherein the side shell has a protrusion, and the protrusion is connected to the flexible portion for activating the switch.
4. The metaverse controller of claim 1, wherein the side shell has a frame, and the frame is connected to the fixed portion and surrounds the flexible portion together with the fixed portion.
5. The metaverse controller of claim 1, further comprising:at least one fastener fastens the fixed portion to the handle.
6. The metaverse controller of claim 5, further comprising:a shield secured to the side shell to shield the at least one fastener.
7. The metaverse controller of claim 1, further comprising:the position sensing part is arranged on the handle to sense the position of the handle.
8. The metaverse controller of claim 1, further comprising:the forefinger control part is arranged on the handle and is not arranged between the handle and the side shell so as to be touched or pressed by fingers.
9. The metaverse controller of claim 1, further comprising:an actuator disposed within the handle, wherein the actuator generates a feedback movement when the switch is pressed via the side housing.
10. The metaverse controller of claim 1, further comprising:and the orientation sensor is arranged in the handle so as to sense the orientation and the movement of the handle.
11. A metaverse controller adapted to sense motion in three-dimensional space, the metaverse controller comprising:a handle;a side shell having a fixed portion and a flexible portion, wherein the fixed portion is fixed to the handle and the side shell extends toward the handle with a contour conforming to a shape of a palm of a hand; andand the switch is arranged between the handle and the side shell, wherein when the handle and the side shell are held and force is applied to one side of the handle, which is far away from the flexible part, relative to the flexible part, the flexible part abutting against the palm is deformed to trigger the switch.
12. The metaverse controller of claim 11, wherein the handle extends toward the side shell in a contour conforming to a shape of a palm center.
13. The metaverse controller of claim 11, wherein the side shell has a protrusion, and the protrusion is connected to the flexible portion for activating the switch.
14. The metaverse controller of claim 11, wherein the side shell has a frame, and the frame is connected to the fixed portion and surrounds the flexible portion together with the fixed portion.
15. The metaverse controller of claim 11, further comprising:at least one fastener fastens the fixed portion to the handle.
16. The metaverse controller of claim 15, further comprising:a shield secured to the side shell to shield the at least one fastener.
17. The metaverse controller of claim 11, further comprising:the position sensing part is arranged on the handle to sense the position of the handle.
18. The metaverse controller of claim 11, further comprising:the index finger control part is arranged on the handle and is touched or pressed by fingers.
19. The metaverse controller of claim 11, further comprising:an actuator disposed within the handle, wherein the actuator generates a feedback movement when the switch is pressed via the side housing.
20. The metaverse controller of claim 11, further comprising:and the orientation sensor is arranged in the handle so as to sense the orientation and the movement of the handle.
21. A metaverse controller adapted to sense motion in three-dimensional space, the metaverse controller comprising:a handle;a side shell fixed to the handle, wherein the side shell extends toward the handle and is contoured to conform to the shape of a palm center; andand the pressure sensor is arranged on the side shell, and senses the deformation of the side shell when the handle and the side shell are held and force is applied to the side shell relative to the handle.
22. The metaverse controller of claim 21, wherein when the amount of deformation of the side shell exceeds a predetermined value, the current deformation of the side shell is defined as a trigger action.
23. The metaverse controller of claim 21, further comprising:the position sensing part is arranged on the handle to sense the position of the handle.
24. The metaverse controller of claim 21, further comprising:the index finger control part is arranged on the handle and is touched or pressed by fingers.
25. The metaverse controller of claim 21, further comprising:an actuator disposed within the handle, wherein the actuator generates a feedback movement when the switch is pressed via the side housing.
26. The metaverse controller of claim 21, further comprising:and the orientation sensor is arranged in the handle so as to sense the orientation and the movement of the handle.</t>
  </si>
  <si>
    <t>Jui-hsiang, Lin|Chang-hua, Wei|Shih-hsiu, Lee</t>
  </si>
  <si>
    <t>G06F0003034600 | A63F0013245000 | A63F0013211000 | G06F0003038000 | A63F0013218000 | A63F2300808200 | A63F0013213000 | A63F0013240000</t>
  </si>
  <si>
    <t>G06F00303460 | G06F00303800</t>
  </si>
  <si>
    <t>US20200147485A1|CN111176463A|TW202032316A|TWI760654B|US11395962B2</t>
  </si>
  <si>
    <t>US20200147485 A1 | CN111176463 A | TW202032316 A | TWI760654 B | US11395962 B2</t>
  </si>
  <si>
    <t>I-000193818721</t>
  </si>
  <si>
    <t>20 years from 2019-11-11 (file date)</t>
  </si>
  <si>
    <t>https://patentscout.innography.com/share/0FHppnRk8en_6WUCVnWEkA%3D%3D</t>
  </si>
  <si>
    <t>2020-05-19-PUBLICATION|2020-06-12-ENTRY INTO FORCE OF REQUEST FOR SUBSTANTIVE EXAMINATION</t>
  </si>
  <si>
    <t>https://patentscout.innography.com/share/0FHppnRk8en_6WUCVnWEkA%3D%3D/download</t>
  </si>
  <si>
    <t>https://v3.espacenet.com/publicationDetails/biblio?CC=CN&amp;NR=111176463A&amp;KC=A&amp;FT=D&amp;date=20200519&amp;DB=EPODOC&amp;locale=</t>
  </si>
  <si>
    <t>CN111176463 A</t>
  </si>
  <si>
    <t>TW202032316 A</t>
  </si>
  <si>
    <t>陈小雯 | Chen Xiaowen</t>
  </si>
  <si>
    <t>1. A metaverse controller adapted to sense motion in three-dimensional space, the metaverse controller comprising:a handle;a side shell having a fixed portion and a flexible portion, wherein the fixed portion is fixed to the handle and the side shell extends toward the handle with a contour conforming to a shape of a palm of a hand; anda switch disposed between the handle and the side shell, wherein when the handle and the side shell are held and a force is applied to the flexible portion relative to the handle, the flexible portion deforms to trigger the switch.</t>
  </si>
  <si>
    <t>11. A metaverse controller adapted to sense motion in three-dimensional space, the metaverse controller comprising:a handle;a side shell having a fixed portion and a flexible portion, wherein the fixed portion is fixed to the handle and the side shell extends toward the handle with a contour conforming to a shape of a palm of a hand; andand the switch is arranged between the handle and the side shell, wherein when the handle and the side shell are held and force is applied to one side of the handle, which is far away from the flexible part, relative to the flexible part, the flexible part abutting against the palm is deformed to trigger the switch.</t>
  </si>
  <si>
    <t>21. A metaverse controller adapted to sense motion in three-dimensional space, the metaverse controller comprising:a handle;a side shell fixed to the handle, wherein the side shell extends toward the handle and is contoured to conform to the shape of a palm center; andand the pressure sensor is arranged on the side shell, and senses the deformation of the side shell when the handle and the side shell are held and force is applied to the side shell relative to the handle.</t>
  </si>
  <si>
    <t>CN108536391 A | CN110784614 A | CN113703683 A | CN113254295 A | CN110362514 A</t>
  </si>
  <si>
    <t>2016-05-11</t>
  </si>
  <si>
    <t>2020-06-23</t>
  </si>
  <si>
    <t>2014-10-30</t>
  </si>
  <si>
    <t>2015-10-30</t>
  </si>
  <si>
    <t>2035-10-29</t>
  </si>
  <si>
    <t>A data storage device and method for reducing firmware update time and a data processing system including the same are disclosed. A data storage device for reducing firmware update time comprising: a non-volatile memory configured to store a firmware update image to be substituted for a current firmware image; a first volatile memory; and a processor configured to control an operation of the non-volatile memory and an operation of the first volatile memory. When the first code included in the current firmware image is executed by the processor the first code generates data required for the operation of the data storage device and stores the data in the first volatile memory. When the second code included in the firmware update image is executed by the first code the second code accesses and uses data already stored in the first volatile memory.</t>
  </si>
  <si>
    <t>Data storage device and method and data processing system comprising the same</t>
  </si>
  <si>
    <t>processing system|data storage device|data storage|volatile memory|firmware update|non-volatile memory</t>
  </si>
  <si>
    <t>Samsung Electronics Co., Ltd.</t>
  </si>
  <si>
    <t>CN201510728010A</t>
  </si>
  <si>
    <t xml:space="preserve">A data storage device comprising:a non-volatile memory configured to store a firmware update image to be substituted for a current firmware image;a first volatile memory; anda processor configured to control operation of the non-volatile memory and operation of the first volatile memory, wherein:when the first code included in the current firmware image is executed by the processor, the first code generates data for an operation of the data storage and then directly stores the generated data in the first volatile memory;when the second code included in the firmware update image is executed by the first code, the second code accesses and uses the data already stored in the first volatile memory,the data includes mapping data for mapping a logical address to a physical address or data related to an error occurring during an access operation to the non-volatile memory.
</t>
  </si>
  <si>
    <t>1. A data storage device comprising:a non-volatile memory configured to store a firmware update image to be substituted for a current firmware image;a first volatile memory; anda processor configured to control operation of the non-volatile memory and operation of the first volatile memory, wherein:when the first code included in the current firmware image is executed by the processor, the first code generates data for an operation of the data storage and then directly stores the generated data in the first volatile memory;when the second code included in the firmware update image is executed by the first code, the second code accesses and uses the data already stored in the first volatile memory,the data includes mapping data for mapping a logical address to a physical address or data related to an error occurring during an access operation to the non-volatile memory.
2. The data storage device of claim 1, wherein the first code transmits data stored in the first volatile memory to the non-volatile memory.
3. The data storage device of claim 1, wherein the first code does not send data stored in the first volatile memory to the non-volatile memory.
4. The data storage device of claim 1, wherein the first code stores the firmware update image in a non-volatile memory to update the current firmware image with the firmware update image.
5. The data storage device of claim 1, wherein:the first code stores the firmware update image in a second volatile memory;when the second code stored in the second volatile memory is executed by the first code, the second code stores the firmware update image already stored in the second volatile memory in the non-volatile memory to update the current firmware image with the firmware update image.
6. The data storage device of claim 1, wherein:when the firmware-to-update-image is received, the first code generates and stores environment information in the first volatile memory, the second code accesses and uses data stored in the first volatile memory using the environment information stored in the first volatile memory,the environment information includes a first metaversion of the current firmware image; the physical address of the storage area in the first volatile memory where the data is stored is included in one of the environment information, the second code, and the second data accessed by the second code.
7. The data storage device of claim 6, wherein:the second code compares the first element version of the current firmware image with the second element version of the firmware update image;when the first meta version is consistent with the second meta version, the second code accesses data stored in the storage area using the physical address and uses the data.
8. The data storage device of claim 1, wherein:when a firmware update image is received, the first code generates and stores environment information in the non-volatile memory, the second code loads the environment information from the non-volatile memory to the first volatile memory, accesses and uses the data using the environment information,the environment information includes a first metaversion of the current firmware image; the physical address of the storage area in the first volatile memory where the data is stored is included in one of the environment information, the second code, and the second data accessed by the second code.
9. The data storage device of claim 1, wherein the first volatile memory is a random access memory and the non-volatile memory is a flash-based memory.
10. A method of updating firmware in a data storage device, the method comprising:generating data for an operation of the data storage using first code included in a current firmware image being executed in the data storage and then directly storing the generated data in a first volatile memory;receiving a firmware update image;updating the current firmware image with the firmware update image;accessing the data stored in the first volatile memory using the second code when the second code included in the firmware update image is executed by the first code; andthe data accessed by the second code is used to control the operation of the data storage device,wherein the data includes mapping data for mapping the logical address to the physical address or data related to an error occurring during an access operation to the non-volatile memory.
11. The method of claim 10, wherein the step of updating comprises using the first code to store the firmware update image that has been received in the non-volatile memory to enable updating the current firmware image with the firmware update image.
12. The method of claim 10, wherein the step of updating comprises:storing the firmware update image in a second volatile memory using the first code;the firmware update image that has been stored in the second volatile memory is stored in the non-volatile memory using the second code executed by the first code.
13. A method performed by a processor for updating firmware in a data store, the method comprising:generating data for operation of the data storage device by executing a first program instruction of a current firmware image, and then directly storing the generated data in a volatile memory;updating the current firmware image with the updated firmware image; andaccessing the data stored in volatile memory by executing second program instructions that update the firmware image,wherein the data includes mapping data for mapping the logical address to the physical address or data related to an error occurring during an access operation to the non-volatile memory.
14. The method of claim 13, further comprising:by executing the first program instructions, a first meta-version of the current firmware image is generated,determining whether the second program instruction can access the data based on a result of comparing the first meta version and the second meta version of the updated firmware image.
15. The method of claim 14, wherein the processor retrieves the first metaversion from the volatile memory by executing the second program instructions.
16. The method of claim 14, wherein the second program instructions cause the processor to retrieve the first metaversion from the non-volatile memory.
17. The method of claim 13, further comprising: the data is accessed while the current firmware image is updated with the updated firmware image.
18. A data storage device comprising:a processor that generates data for operation of the data storage device by executing first program instructions of a current firmware image;a volatile memory directly storing the generated data; anda non-volatile memory in which the current firmware image is updated with an updated firmware image, wherein,the processor accesses the data stored in the volatile memory by executing second program instructions that update the firmware image,the data includes mapping data for mapping a logical address to a physical address or data related to an error occurring during an access operation to the non-volatile memory.
19. The data storage device of claim 18, wherein:the processor accesses the data stored in the volatile memory while updating the current firmware image with the updated firmware image.</t>
  </si>
  <si>
    <t>Choi, Sang Hoon|Kim, Sung Chul|Kim, Hyun Koo|Park, Chan Ik|Lee, Han Deok</t>
  </si>
  <si>
    <t>CN105573665 A</t>
  </si>
  <si>
    <t>G06F0008650000</t>
  </si>
  <si>
    <t>G06F0008650000 | G06F0008654000 | G06F0008630000</t>
  </si>
  <si>
    <t>G06F00306000</t>
  </si>
  <si>
    <t>US20160124740A1|CN105573665A|KR20160050707A|US9817652B2|US20180046447A1|CN105573665B|US10866797B2|KR102261815B1</t>
  </si>
  <si>
    <t>CN105573665 A | KR20160050707 A | US9817652 B2 | US20180046447 A1 | CN105573665 B | US10866797 B2 | KR102261815 B1 | US20160124740 A1</t>
  </si>
  <si>
    <t>I-000143712333</t>
  </si>
  <si>
    <t>20 years from 2015-10-29 (the day prior to the file date)</t>
  </si>
  <si>
    <t>https://patentscout.innography.com/share/nxKpSSb-PlY8xRmQBW2hZg%3D%3D</t>
  </si>
  <si>
    <t>2016-05-11-PUBLICATION|2017-10-13-ENTRY INTO FORCE OF REQUEST FOR SUBSTANTIVE EXAMINATION|2020-06-23-PATENT GRANT</t>
  </si>
  <si>
    <t>https://patentscout.innography.com/share/nxKpSSb-PlY8xRmQBW2hZg%3D%3D/download</t>
  </si>
  <si>
    <t>https://v3.espacenet.com/publicationDetails/biblio?CC=CN&amp;NR=105573665B&amp;KC=B&amp;FT=D&amp;date=20200623&amp;DB=EPODOC&amp;locale=</t>
  </si>
  <si>
    <t>KR20160050707 A</t>
  </si>
  <si>
    <t>刘灿强 | 尹淑梅 | Yin Shumei | Liu Canqiang</t>
  </si>
  <si>
    <t>1. A data storage device comprising:a non-volatile memory configured to store a firmware update image to be substituted for a current firmware image;a first volatile memory; anda processor configured to control operation of the non-volatile memory and operation of the first volatile memory, wherein:when the first code included in the current firmware image is executed by the processor, the first code generates data for an operation of the data storage and then directly stores the generated data in the first volatile memory;when the second code included in the firmware update image is executed by the first code, the second code accesses and uses the data already stored in the first volatile memory,the data includes mapping data for mapping a logical address to a physical address or data related to an error occurring during an access operation to the non-volatile memory.</t>
  </si>
  <si>
    <t>10. A method of updating firmware in a data storage device, the method comprising:generating data for an operation of the data storage using first code included in a current firmware image being executed in the data storage and then directly storing the generated data in a first volatile memory;receiving a firmware update image;updating the current firmware image with the firmware update image;accessing the data stored in the first volatile memory using the second code when the second code included in the firmware update image is executed by the first code; andthe data accessed by the second code is used to control the operation of the data storage device,wherein the data includes mapping data for mapping the logical address to the physical address or data related to an error occurring during an access operation to the non-volatile memory.</t>
  </si>
  <si>
    <t>13. A method performed by a processor for updating firmware in a data store, the method comprising:generating data for operation of the data storage device by executing a first program instruction of a current firmware image, and then directly storing the generated data in a volatile memory;updating the current firmware image with the updated firmware image; andaccessing the data stored in volatile memory by executing second program instructions that update the firmware image,wherein the data includes mapping data for mapping the logical address to the physical address or data related to an error occurring during an access operation to the non-volatile memory.</t>
  </si>
  <si>
    <t>18. A data storage device comprising:a processor that generates data for operation of the data storage device by executing first program instructions of a current firmware image;a volatile memory directly storing the generated data; anda non-volatile memory in which the current firmware image is updated with an updated firmware image, wherein,the processor accesses the data stored in the volatile memory by executing second program instructions that update the firmware image,the data includes mapping data for mapping a logical address to a physical address or data related to an error occurring during an access operation to the non-volatile memory.</t>
  </si>
  <si>
    <t>CN108594988 A | CN109086029 A | TWI710389 B | US11533579 B2</t>
  </si>
  <si>
    <t>2017-11-21</t>
  </si>
  <si>
    <t>2020-10-13</t>
  </si>
  <si>
    <t>2017-05-10</t>
  </si>
  <si>
    <t>2037-05-09</t>
  </si>
  <si>
    <t>2017-11-16</t>
  </si>
  <si>
    <t>A wearable electronic device a virtual reality system and a control method are provided. The wearable electronic device comprises a microphone array a plurality of stereo speakers and a control circuit. The microphone array is used for sensing environmental sound. The control circuit is coupled with the microphone array and the stereo loudspeaker. The control circuit is used for calculating the distance and the direction angle from the sound source of the environmental sound to the wearable electronic device according to the environmental sound sensed by the microphone array. An effect sound is generated corresponding to the ambient sound. The processing of the effect sound to simulate the effect sound originates from a virtual location the virtual location being spaced apart from the wearable electronic device by the distance and the virtual location being at the directional angle. The processed effect sound is played through a stereo speaker. The wearable electronic device can transmit the ambient sound to the user while maintaining the original spatial characteristics of the ambient sound.</t>
  </si>
  <si>
    <t>Wearable electronic device, virtual reality system and control method</t>
  </si>
  <si>
    <t>wearable electronic device|wearable electronic|virtual reality system|microphone array|effect sound|environmental sound</t>
  </si>
  <si>
    <t>CN201710325645A</t>
  </si>
  <si>
    <t xml:space="preserve">A wearable electronic device, comprising:a microphone array for sensing an ambient sound;a plurality of stereo speakers; anda control circuit coupled to the microphone array and the plurality of stereo speakers, the control circuit configured to:calculating a distance and a direction angle from a sound source of the environmental sound to the wearable electronic device according to the environmental sound sensed by the microphone array;generating an effect sound corresponding to the environmental sound;processing the effect sound to simulate that the effect sound originates from a virtual position, wherein the virtual position is separated from the wearable electronic device by the distance and is positioned on the direction angle; andplaying the processed effect sound through the plurality of stereo speakers,the environmental sound is adjusted according to an audio tone corresponding to a virtual reality scene to generate the effect sound.
</t>
  </si>
  <si>
    <t>1. A wearable electronic device, comprising:a microphone array for sensing an ambient sound;a plurality of stereo speakers; anda control circuit coupled to the microphone array and the plurality of stereo speakers, the control circuit configured to:calculating a distance and a direction angle from a sound source of the environmental sound to the wearable electronic device according to the environmental sound sensed by the microphone array;generating an effect sound corresponding to the environmental sound;processing the effect sound to simulate that the effect sound originates from a virtual position, wherein the virtual position is separated from the wearable electronic device by the distance and is positioned on the direction angle; andplaying the processed effect sound through the plurality of stereo speakers,the environmental sound is adjusted according to an audio tone corresponding to a virtual reality scene to generate the effect sound.
2. The wearable electronic device of claim 1, wherein the microphone array comprises a first microphone and a second microphone disposed at different locations on the wearable electronic device for sensing sound samples corresponding to the ambient sound.
3. The wearable electronic device of claim 1, wherein the wearable electronic device is a head-mounted display device comprising a display for displaying a virtual reality scene, the processed effect sound being combined with a virtual world sound corresponding to the virtual reality scene and played through the stereo speakers.
4. The wearable electronic device of claim 1, further comprising a network interface circuit in wireless communication with another wearable electronic device, wherein the network interface circuit is configured to receive a network packet comprising another environmental sound sensed by the another wearable electronic device, the another environmental sound comprising a user voice, and the control circuit is further configured to verify a user identity corresponding to the another wearable electronic device according to the user voice.
5. A metaverse system, comprising:a first wearable electronic device, comprising:a first microphone array for sensing a first ambient sound of an ambient scene;a first network interface circuit; anda first control circuit coupled to the first microphone array and the first network interface circuit, the first control circuit being configured to calculate a first distance and a first direction angle from a sound source of the first environmental sound to the first wearable electronic device according to the first environmental sound; and a second wearable electronic device, comprising:a second microphone array for sensing a second ambient sound of the ambient scene;a second network interface circuit communicatively connected to the first network interface circuit, the second network interface circuit being configured to receive the first environmental sound, the first distance, and the first direction angle from the first wearable electronic device; generating an effect sound corresponding to the environmental sound; processing the effect sound to simulate that the effect sound originates from a virtual position, the virtual position is separated from the first wearable electronic device by the first distance and the virtual position is located at the first direction angle; playing the processed effect sound through a plurality of stereo speakers on the first wearable electronic device, wherein the first environment sound is adjusted according to an audio tone corresponding to a virtual reality scene to generate the effect sound; anda second control circuit coupled to the second microphone array and the second network interface circuit, the second control circuit being configured to calculate a second distance and a second direction angle from a sound source of the second ambient sound to the second wearable electronic device according to the second ambient sound, and the second control circuit being configured to calculate a relative position relationship between the first wearable electronic device and the second wearable electronic device according to the first distance, the first direction angle, the second distance, and the second direction angle.
6. The metaverse system of claim 5, wherein the first microphone array comprises a first microphone and a second microphone disposed at different locations on the first wearable electronic device for sensing sound samples corresponding to the ambient sound.
7. The metaverse system of claim 6, wherein the first control circuit is configured to calculate the first distance from the sound source of the first environmental sound to the first wearable electronic device according to an intensity level of the sound samples sensed by the first microphone or the second microphone.
8. A method for controlling a wearable electronic device, the wearable electronic device comprising a microphone array and a plurality of stereo speakers, the method comprising:sensing an ambient sound using the microphone array;calculating a distance and a direction angle from a sound source of the environmental sound to the wearable electronic device according to the environmental sound;generating an effect sound corresponding to the environmental sound;processing the effect sound to simulate that the effect sound originates from a virtual position, wherein the virtual position is separated from the wearable electronic device by the distance and is positioned on the direction angle; andplaying the processed effect sound through the plurality of stereo speakers,the environmental sound is adjusted according to an audio tone corresponding to a virtual reality scene to generate the effect sound.
9. The method as claimed in claim 8, wherein the microphone array comprises a first microphone and a second microphone, and the step of calculating the distance and the direction angle comprises:calculating the distance from the sound source of the ambient sound to the wearable electronic device according to an intensity level of the sound samples sensed by the first microphone or the second microphone; andcalculating the direction angle from the sound source of the environmental sound to the wearable electronic device according to a time difference between the plurality of sound samples sensed by the first microphone and the second microphone.
10. The method as claimed in claim 9, wherein the effect sound is generated by adjusting the environmental sound according to an audio tone corresponding to the metaverse scene.
11. The method of claim 9, comprising:generating a virtual object at the virtual position corresponding to the environmental sound, wherein the virtual position is separated from the wearable electronic device by the distance and is located at the direction angle; andand combining the virtual object into the virtual reality scene.
12. A control method of a virtual reality system, the virtual reality system comprising a first wearable electronic device and a second wearable electronic device, the control method comprising:sensing a first environmental sound of an environmental scene by using the first wearable electronic device, and sensing a second environmental sound of the environmental scene by using the second wearable electronic device;calculating a first distance and a first direction angle from a sound source of the first environmental sound to the first wearable electronic device according to the first environmental sound;generating an effect sound corresponding to the first environmental sound;processing the effect sound to simulate that the effect sound originates from a virtual position, the virtual position is separated from the first wearable electronic device by the distance, and the virtual position is located on the direction angle;playing the processed effect sound through a plurality of stereo speakers on the first wearable electronic device, wherein the first environment sound is adjusted according to an audio tone corresponding to a virtual reality scene to generate the effect sound;calculating a second distance and a second direction angle from a sound source of the second ambient sound to the second wearable electronic device according to the second ambient sound; andcalculating a relative position relationship between the first wearable electronic device and the second wearable electronic device according to the first distance, the first direction angle, the second distance and the second direction angle.</t>
  </si>
  <si>
    <t>Lin, Tz-chian|Choi, Iok-kan|Liao, Chun-min</t>
  </si>
  <si>
    <t>CN107367839 A</t>
  </si>
  <si>
    <t>G02B0027017200</t>
  </si>
  <si>
    <t>G02B0027017200 | H04S0007304000 | H04S0007302000 | H04R0005020000 | H04R0005033000 | H04R0003005000 | G10L0017220000 | H04R0001406000 | H04R0005040000 | H04S2400010000 | H04S2400110000 | G02B2027014000 | G10L0017000000</t>
  </si>
  <si>
    <t>G02B02701000</t>
  </si>
  <si>
    <t>G02B02701000 | H04R00502000 | H04R00503300</t>
  </si>
  <si>
    <t>US20170332187A1|CN107367839A|EP3253078A2|TW201740744A|EP3253078A3|US10469976B2|TWI687106B|CN107367839B|EP3253078B1</t>
  </si>
  <si>
    <t>US20170332187 A1 | CN107367839 A | EP3253078 A2 | TW201740744 A | US10469976 B2 | TWI687106 B | CN107367839 B | EP3253078 B1</t>
  </si>
  <si>
    <t>I-000186917493</t>
  </si>
  <si>
    <t>20 years from 2017-05-09 (the day prior to the file date)</t>
  </si>
  <si>
    <t>https://patentscout.innography.com/share/_bvl08t99Q9kXLjz4PPnHQ%3D%3D</t>
  </si>
  <si>
    <t>2017-11-21-PUBLICATION|2017-12-15-ENTRY INTO FORCE OF REQUEST FOR SUBSTANTIVE EXAMINATION|2020-10-13-PATENT GRANT</t>
  </si>
  <si>
    <t>https://patentscout.innography.com/share/_bvl08t99Q9kXLjz4PPnHQ%3D%3D/download</t>
  </si>
  <si>
    <t>https://v3.espacenet.com/publicationDetails/biblio?CC=CN&amp;NR=107367839B&amp;KC=B&amp;FT=D&amp;date=20201013&amp;DB=EPODOC&amp;locale=</t>
  </si>
  <si>
    <t>US20170332187 A1</t>
  </si>
  <si>
    <t>1. A wearable electronic device, comprising:a microphone array for sensing an ambient sound;a plurality of stereo speakers; anda control circuit coupled to the microphone array and the plurality of stereo speakers, the control circuit configured to:calculating a distance and a direction angle from a sound source of the environmental sound to the wearable electronic device according to the environmental sound sensed by the microphone array;generating an effect sound corresponding to the environmental sound;processing the effect sound to simulate that the effect sound originates from a virtual position, wherein the virtual position is separated from the wearable electronic device by the distance and is positioned on the direction angle; andplaying the processed effect sound through the plurality of stereo speakers,the environmental sound is adjusted according to an audio tone corresponding to a virtual reality scene to generate the effect sound.</t>
  </si>
  <si>
    <t>5. A metaverse system, comprising:a first wearable electronic device, comprising:a first microphone array for sensing a first ambient sound of an ambient scene;a first network interface circuit; anda first control circuit coupled to the first microphone array and the first network interface circuit, the first control circuit being configured to calculate a first distance and a first direction angle from a sound source of the first environmental sound to the first wearable electronic device according to the first environmental sound; and a second wearable electronic device, comprising:a second microphone array for sensing a second ambient sound of the ambient scene;a second network interface circuit communicatively connected to the first network interface circuit, the second network interface circuit being configured to receive the first environmental sound, the first distance, and the first direction angle from the first wearable electronic device; generating an effect sound corresponding to the environmental sound; processing the effect sound to simulate that the effect sound originates from a virtual position, the virtual position is separated from the first wearable electronic device by the first distance and the virtual position is located at the first direction angle; playing the processed effect sound through a plurality of stereo speakers on the first wearable electronic device, wherein the first environment sound is adjusted according to an audio tone corresponding to a virtual reality scene to generate the effect sound; anda second control circuit coupled to the second microphone array and the second network interface circuit, the second control circuit being configured to calculate a second distance and a second direction angle from a sound source of the second ambient sound to the second wearable electronic device according to the second ambient sound, and the second control circuit being configured to calculate a relative position relationship between the first wearable electronic device and the second wearable electronic device according to the first distance, the first direction angle, the second distance, and the second direction angle.</t>
  </si>
  <si>
    <t>8. A method for controlling a wearable electronic device, the wearable electronic device comprising a microphone array and a plurality of stereo speakers, the method comprising:sensing an ambient sound using the microphone array;calculating a distance and a direction angle from a sound source of the environmental sound to the wearable electronic device according to the environmental sound;generating an effect sound corresponding to the environmental sound;processing the effect sound to simulate that the effect sound originates from a virtual position, wherein the virtual position is separated from the wearable electronic device by the distance and is positioned on the direction angle; andplaying the processed effect sound through the plurality of stereo speakers,the environmental sound is adjusted according to an audio tone corresponding to a virtual reality scene to generate the effect sound.</t>
  </si>
  <si>
    <t>12. A control method of a virtual reality system, the virtual reality system comprising a first wearable electronic device and a second wearable electronic device, the control method comprising:sensing a first environmental sound of an environmental scene by using the first wearable electronic device, and sensing a second environmental sound of the environmental scene by using the second wearable electronic device;calculating a first distance and a first direction angle from a sound source of the first environmental sound to the first wearable electronic device according to the first environmental sound;generating an effect sound corresponding to the first environmental sound;processing the effect sound to simulate that the effect sound originates from a virtual position, the virtual position is separated from the first wearable electronic device by the distance, and the virtual position is located on the direction angle;playing the processed effect sound through a plurality of stereo speakers on the first wearable electronic device, wherein the first environment sound is adjusted according to an audio tone corresponding to a virtual reality scene to generate the effect sound;calculating a second distance and a second direction angle from a sound source of the second ambient sound to the second wearable electronic device according to the second ambient sound; andcalculating a relative position relationship between the first wearable electronic device and the second wearable electronic device according to the first distance, the first direction angle, the second distance and the second direction angle.</t>
  </si>
  <si>
    <t>CN113220446 A | CN113852718 A</t>
  </si>
  <si>
    <t>2020-11-03</t>
  </si>
  <si>
    <t>2019-05-03</t>
  </si>
  <si>
    <t>2019-05-28</t>
  </si>
  <si>
    <t>The invention discloses a virtual reality device a control method thereof and a mobile device control method.A first application program sends a request for image related information; then the camera framework layer responds to the request from the first application program and sends an instruction for camera control; the camera hardware abstraction layer then responds to instructions from the camera framework layer; then the control layer controls the camera hardware abstraction layer to send a control command to a second application program to obtain image related information; finally the second application provides the virtual reality information acquired by the virtual camera in the virtual reality world as the image-related information. The invention enables the virtual reality device to realize the replacement function and/or the superposition function.</t>
  </si>
  <si>
    <t>Virtual reality equipment, control method thereof and mobile device control method</t>
  </si>
  <si>
    <t>virtual reality equipment|virtual reality|reality|layer|mobile device</t>
  </si>
  <si>
    <t>Future City Co., Ltd., Taiwan</t>
  </si>
  <si>
    <t>Future</t>
  </si>
  <si>
    <t>CN201910451565A</t>
  </si>
  <si>
    <t xml:space="preserve">A control method of a virtual reality device, comprising:a first application program sends a request for image related information;a camera framework layer responding to the request from the first application and sending instructions for camera control;a camera hardware abstraction layer responsive to the instructions from the camera framework layer;a control layer controls the camera hardware abstraction layer to send a control command to a second application program to acquire the image related information; and the number of the first and second groups,the second application program provides, as the image-related information, virtual reality information acquired by a virtual camera in a virtual reality world.
</t>
  </si>
  <si>
    <t>1. A control method of a virtual reality device, comprising:a first application program sends a request for image related information;a camera framework layer responding to the request from the first application and sending instructions for camera control;a camera hardware abstraction layer responsive to the instructions from the camera framework layer;a control layer controls the camera hardware abstraction layer to send a control command to a second application program to acquire the image related information; and the number of the first and second groups,the second application program provides, as the image-related information, virtual reality information acquired by a virtual camera in a virtual reality world.
2. The method of controlling a metaverse apparatus according to claim 1, further comprising: the first application receives the metaverse information from the camera hardware abstraction layer.
3. The method of controlling a metaverse apparatus according to claim 2, further comprising: the first application displays an image generated from the metaverse information to a user on the metaverse apparatus.
4. The method of controlling a metaverse apparatus according to claim 1, further comprising:the control layer controls the camera hardware abstraction layer to send another control command to a physical camera of the virtual reality device to obtain image related information;the entity camera of the virtual reality device provides real scene information acquired by the entity camera in a real environment as the image-related information; and the number of the first and second groups,the first application receives the virtual reality information and the real scene information from the camera hardware abstraction layer.
5. The metaverse apparatus control method of claim 4, further comprising: the first application displays an image generated from the virtual reality information and the real scene information to a user on the virtual reality device.
6. A metaverse apparatus, comprising:a first application configured to send a request for image-related information;a camera framework layer configured to respond to the request from the first application and send camera control instructions;a camera hardware abstraction layer configured to respond to the camera control commands from the camera framework layer and send control commands to a second application to provide the image-related information; and the number of the first and second groups,the second application program is configured to provide virtual reality information acquired by a virtual camera in the virtual reality world;wherein the camera hardware abstraction layer comprises a control layer configured to control the camera hardware abstraction layer to send the control command to the second application to obtain the image-related information.
7. The metaverse device of claim 6, wherein the first application is further configured to receive the metaverse information from the camera hardware abstraction layer.
8. The metaverse device of claim 7, wherein the first application is further configured to display an image based on the metaverse information to a user on the metaverse device.
9. The metaverse device of claim 6, wherein the control layer is further configured to control the camera hardware abstraction layer to send another control command to a physical camera of the metaverse device to obtain image-related information;the physical camera of the virtual reality device is configured to provide real scene information acquired by the physical camera in a real environment as the image-related information;the first application is further configured to receive the virtual reality information and the real scene information from the camera hardware abstraction layer.
10. The metaverse device of claim 9, wherein the first application is further configured to display an image based on the metaverse information and the real scene information to a user on the metaverse device.
11. A mobile device control method for controlling a first mobile device and a second mobile device, comprising:launching a first application on the first mobile device and the second mobile device, the first application building a communication channel between the first mobile device and the second mobile device, and the first application sending a request for image-related information;a camera framework layer of the first mobile device responding to the request from the first application and sending instructions for camera control;a camera hardware abstraction layer of the first mobile device responding to the instructions from the camera framework layer of the first mobile device;a control layer of the first mobile device controls the camera hardware abstraction layer of the first mobile device to send control commands for the image-related information to a second application;the second application program provides virtual reality information acquired by a virtual camera in the virtual reality world as the image related information; and the number of the first and second groups,the first application receives the metaverse information from the second application via the camera hardware abstraction layer of the first mobile device.
12. The mobile device control method of claim 11, wherein the first mobile device and the second mobile device are virtual reality equipment.
13. The mobile device control method according to claim 11, wherein the first mobile device is a metaverse apparatus, and the second mobile device is not a metaverse apparatus.
14. The mobile device control method of claim 13, further comprising:sending, by a camera framework layer of the second mobile device, instructions for camera control in response to the request from the first application;a camera hardware abstraction layer of the second mobile device responds to the instructions from the camera framework layer of the second mobile device and sends control commands to a physical camera of the second mobile device;the physical camera of the second mobile device providing real scene information acquired by the physical camera as the image-related information;the first application receiving real scene information from the physical camera of the second mobile device via the camera hardware abstraction layer of the second mobile device; and the number of the first and second groups,at least one of the first mobile device and the second mobile device displays an image generated from the virtual reality information and the real scene information.</t>
  </si>
  <si>
    <t>Huang, Jiyang</t>
  </si>
  <si>
    <t>G06T0019006000 | G06T0011600000 | H04N0007157000 | G06F0003011000 | G06F2203012000 | H04N0005247000 | H04N0005450000 | H04N0007141000 | H04N0021470000 | H04N0005232250 | H04N0005232930 | H04N0021414070 | H04N0021422300 | H04N0021431600 | H04N0021443300 | H04N0021814600</t>
  </si>
  <si>
    <t>G06T01900000 | G06F00301000</t>
  </si>
  <si>
    <t>US20200349749A1|JP2020184736A|JP6782812B2|CN111882669A|TW202042060A</t>
  </si>
  <si>
    <t>US20200349749 A1 | JP2020184736 A | JP6782812 B2 | CN111882669 A | TW202042060 A</t>
  </si>
  <si>
    <t>I-000203774386</t>
  </si>
  <si>
    <t>https://patentscout.innography.com/share/hMN291n4hoN6_pH_6en4tg%3D%3D</t>
  </si>
  <si>
    <t>2020-11-03-PUBLICATION|2020-11-20-ENTRY INTO FORCE OF REQUEST FOR SUBSTANTIVE EXAMINATION|2021-08-31-INVENTION PATENT APPLICATION WITHDRAWN AFTER PUBLICATION</t>
  </si>
  <si>
    <t>https://patentscout.innography.com/share/hMN291n4hoN6_pH_6en4tg%3D%3D/download</t>
  </si>
  <si>
    <t>https://v3.espacenet.com/publicationDetails/biblio?CC=CN&amp;NR=111882669A&amp;KC=A&amp;FT=D&amp;date=20201103&amp;DB=EPODOC&amp;locale=</t>
  </si>
  <si>
    <t>CN111882669 A</t>
  </si>
  <si>
    <t>US20200349749 A1</t>
  </si>
  <si>
    <t>Shenzhen Truer Patent &amp; Trademark Agent 深圳创友专利商标代理有限公司</t>
  </si>
  <si>
    <t>徐罗艳 | Xu Luoyan</t>
  </si>
  <si>
    <t>1. A control method of a virtual reality device, comprising:a first application program sends a request for image related information;a camera framework layer responding to the request from the first application and sending instructions for camera control;a camera hardware abstraction layer responsive to the instructions from the camera framework layer;a control layer controls the camera hardware abstraction layer to send a control command to a second application program to acquire the image related information; and the number of the first and second groups,the second application program provides, as the image-related information, virtual reality information acquired by a virtual camera in a virtual reality world.</t>
  </si>
  <si>
    <t>6. A metaverse apparatus, comprising:a first application configured to send a request for image-related information;a camera framework layer configured to respond to the request from the first application and send camera control instructions;a camera hardware abstraction layer configured to respond to the camera control commands from the camera framework layer and send control commands to a second application to provide the image-related information; and the number of the first and second groups,the second application program is configured to provide virtual reality information acquired by a virtual camera in the virtual reality world;wherein the camera hardware abstraction layer comprises a control layer configured to control the camera hardware abstraction layer to send the control command to the second application to obtain the image-related information.</t>
  </si>
  <si>
    <t>11. A mobile device control method for controlling a first mobile device and a second mobile device, comprising:launching a first application on the first mobile device and the second mobile device, the first application building a communication channel between the first mobile device and the second mobile device, and the first application sending a request for image-related information;a camera framework layer of the first mobile device responding to the request from the first application and sending instructions for camera control;a camera hardware abstraction layer of the first mobile device responding to the instructions from the camera framework layer of the first mobile device;a control layer of the first mobile device controls the camera hardware abstraction layer of the first mobile device to send control commands for the image-related information to a second application;the second application program provides virtual reality information acquired by a virtual camera in the virtual reality world as the image related information; and the number of the first and second groups,the first application receives the metaverse information from the second application via the camera hardware abstraction layer of the first mobile device.</t>
  </si>
  <si>
    <t>CN111290127 A | CN111381371 A | CN113495361 A</t>
  </si>
  <si>
    <t>2018-08-28</t>
  </si>
  <si>
    <t>2020-09-01</t>
  </si>
  <si>
    <t>2017-02-21</t>
  </si>
  <si>
    <t>2037-02-20</t>
  </si>
  <si>
    <t>The invention provides a virtual reality display device which comprises at least one display and at least one optical component. The display is adapted to provide an image beam to the left or right eye of a user. The optical assembly is disposed in a transmission path of the image beam and includes at least one Fresnel lens. The display and the optical assembly have tilt angles with respect to an upward direction respectively wherein the upward direction is a direction perpendicular to a horizontal line of sight plane of the user the upward direction is defined as a direction from the neck to the top of the head of the user and the tilt angles range from greater than 0 degrees to 20 degrees or less.</t>
  </si>
  <si>
    <t>Virtual reality display device</t>
  </si>
  <si>
    <t>virtual reality display|virtual reality|reality display device|upward direction|tilt angle|optical assembly|optical element|Fresnel lens|Fresnel</t>
  </si>
  <si>
    <t>Acer Incorporated</t>
  </si>
  <si>
    <t>CN201710092829A</t>
  </si>
  <si>
    <t xml:space="preserve">A metaverse display apparatus, comprising:at least one display adapted to provide an image beam to a left or right eye of a user; andat least one optical component disposed in a transmission path of the image beam, and the optical component includes at least one Fresnel lens,wherein the display and the optical assembly each have an inclination angle with respect to an upward direction, the upward direction being a direction perpendicular to a horizontal line-of-sight plane of the user, and the upward direction being defined as a direction from the neck to the top of the head of the user, and the range of the inclination angle is greater than 0 degree and 20 degrees or less, a position of the user's direct front line of sight projected on the surface of the optical component has an off-center distance from an optical center of the optical component in the upward direction or a downward direction opposite to the upward direction, the eccentricity distance is greater than 0 mm and less than or equal to 10% of the height of the optical assembly, wherein the optical center is a position where an optical axis of the optical component passes through the optical component, and the height is a width of the optical component in a direction near the upward direction and perpendicular to the optical axis.
</t>
  </si>
  <si>
    <t>1. A metaverse display apparatus, comprising:at least one display adapted to provide an image beam to a left or right eye of a user; andat least one optical component disposed in a transmission path of the image beam, and the optical component includes at least one Fresnel lens,wherein the display and the optical assembly each have an inclination angle with respect to an upward direction, the upward direction being a direction perpendicular to a horizontal line-of-sight plane of the user, and the upward direction being defined as a direction from the neck to the top of the head of the user, and the range of the inclination angle is greater than 0 degree and 20 degrees or less, a position of the user's direct front line of sight projected on the surface of the optical component has an off-center distance from an optical center of the optical component in the upward direction or a downward direction opposite to the upward direction, the eccentricity distance is greater than 0 mm and less than or equal to 10% of the height of the optical assembly, wherein the optical center is a position where an optical axis of the optical component passes through the optical component, and the height is a width of the optical component in a direction near the upward direction and perpendicular to the optical axis.
2. The metaverse display device of claim 1, wherein the optical assembly has an included angle with respect to a direction of a binocular line of the user, the included angle being in a range of greater than 0 degrees and equal to or less than 45 degrees.
3. The metaverse display device of claim 2, wherein the at least one optical element is two optical elements, and an optical center of the optical element corresponding to the left eye of the user and an optical center of the optical element corresponding to the right eye of the user are spaced apart from each other by a distance greater than a distance between a rotation center of the left eye of the user and a rotation center of the right eye of the user.
4. The metaverse display device of claim 3, wherein a distance from an optical center of each of the two optical assemblies to an end of the optical assembly proximate the temple of the user is D1, and a distance from an optical center of each of the two optical assemblies to an end of the optical assembly proximate the nose of the user is D2, wherein D1&gt; D2.
5. The metaverse display apparatus of claim 1, further comprising a pitch adjuster, and wherein the at least one optical element is two optical elements and the at least one display is two displays, wherein the pitch adjuster is configured to adjust a pitch between the optical element and the display in a path of the image beam to the left eye of the user and a pitch between the optical element and the display in a path of the image beam to the right eye of the user, respectively.
6. The metaverse display device of claim 5, wherein the spacing adjuster comprises a gear, a rack, a slide, a screw, a spring, or a combination thereof.
7. The metaverse display device of claim 1, wherein a non-optically effective side of each annular tooth of the Fresnel lens is coated with a light absorbing material.
8. The metaverse display device of claim 7, wherein the Fresnel lens is a convex lens and the non-optically effective side of each annular tooth of the Fresnel lens is an inner side of the annular tooth that is proximate to an optical axis of the Fresnel lens.
9. The metaverse display device of claim 7, wherein the Fresnel lens is a concave lens and the non-optically effective side of each annular tooth of the Fresnel lens is an outer side of the annular tooth away from an optical axis of the Fresnel lens.
10. A metaverse display apparatus, comprising:at least one display adapted to provide an image beam to a left or right eye of a user; andat least one optical component disposed in a transmission path of the image beam, and the optical component includes at least one Fresnel lens, wherein the non-optically active area of the Fresnel lens is coated with a light absorbing material, the position of the user's direct frontal line of sight projected on the surface of the optical component being off-center from the optical center of the optical component in an upward direction or a downward direction opposite the upward direction, the eccentricity distance is greater than 0 mm and less than or equal to 10% of the height of the optical assembly, wherein the optical center is a position where an optical axis of the optical component passes through the optical component, the upward direction is a direction perpendicular to a horizontal line-of-sight plane of the user, and the upward direction is defined as a direction from the neck to the top of the head of the user and the height is a width of the optical component in a direction close to the upward direction and perpendicular to the optical axis.
11. The metaverse display device of claim 10, wherein the optical assembly has an included angle with respect to the user's binocular viewing direction, the included angle being in a range of greater than 0 degrees and equal to or less than 45 degrees.
12. The metaverse display device of claim 11, wherein the at least one optical element is two optical elements, and an optical center of the optical element corresponding to the left eye of the user and an optical center of the optical element corresponding to the right eye of the user are spaced apart from each other by a distance greater than a distance between a rotation center of the left eye of the user and a rotation center of the right eye of the user.
13. The metaverse display device of claim 12, wherein a distance from an optical center of each of the two optical assemblies to an end of the optical assembly proximate the user's temple is D1, and a distance from an optical center of each of the two optical assemblies to an end of the optical assembly proximate the user's nose is D2, wherein D1&gt; D2.
14. The metaverse display apparatus of claim 10, further comprising a pitch adjuster, and wherein the at least one optical element is two optical elements and the at least one display is two displays, wherein the pitch adjuster is configured to adjust a pitch between the optical element and the display in a path of the image beam to the left eye of the user and a pitch between the optical element and the display in a path of the image beam to the right eye of the user, respectively.
15. The metaverse display device of claim 14, wherein the pitch adjuster comprises a gear, a rack, a slide, a screw, a spring, or a combination thereof.
16. The metaverse display device of claim 10, wherein the fresnel lens is a convex lens and a non-optically active side of each annular tooth of the fresnel lens belongs to the non-optically active area, wherein the non-optically active side is an inner side of the annular tooth that is close to an optical axis of the fresnel lens.
17. The metaverse display device of claim 10, wherein the fresnel lens is a concave lens and a non-optically active side of each annular tooth of the fresnel lens belongs to the non-optically active area, wherein the non-optically active side is an outer side of the annular tooth that is away from an optical axis of the fresnel lens.</t>
  </si>
  <si>
    <t>Qiu, Yirong</t>
  </si>
  <si>
    <t>CN108459412 A</t>
  </si>
  <si>
    <t>CN108459412A|CN108459412B</t>
  </si>
  <si>
    <t>CN108459412 A | CN108459412 B</t>
  </si>
  <si>
    <t>I-000169583524</t>
  </si>
  <si>
    <t>20 years from 2017-02-20 (the day prior to the file date)</t>
  </si>
  <si>
    <t>https://patentscout.innography.com/share/6gWiS_THQRpB0CvUNukwFA%3D%3D</t>
  </si>
  <si>
    <t>2018-08-28-PUBLICATION|2018-09-21-ENTRY INTO FORCE OF REQUEST FOR SUBSTANTIVE EXAMINATION|2020-09-01-PATENT GRANT</t>
  </si>
  <si>
    <t>https://patentscout.innography.com/share/6gWiS_THQRpB0CvUNukwFA%3D%3D/download</t>
  </si>
  <si>
    <t>https://v3.espacenet.com/publicationDetails/biblio?CC=CN&amp;NR=108459412B&amp;KC=B&amp;FT=D&amp;date=20200901&amp;DB=EPODOC&amp;locale=</t>
  </si>
  <si>
    <t>1. A metaverse display apparatus, comprising:at least one display adapted to provide an image beam to a left or right eye of a user; andat least one optical component disposed in a transmission path of the image beam, and the optical component includes at least one Fresnel lens,wherein the display and the optical assembly each have an inclination angle with respect to an upward direction, the upward direction being a direction perpendicular to a horizontal line-of-sight plane of the user, and the upward direction being defined as a direction from the neck to the top of the head of the user, and the range of the inclination angle is greater than 0 degree and 20 degrees or less, a position of the user's direct front line of sight projected on the surface of the optical component has an off-center distance from an optical center of the optical component in the upward direction or a downward direction opposite to the upward direction, the eccentricity distance is greater than 0 mm and less than or equal to 10% of the height of the optical assembly, wherein the optical center is a position where an optical axis of the optical component passes through the optical component, and the height is a width of the optical component in a direction near the upward direction and perpendicular to the optical axis.</t>
  </si>
  <si>
    <t>10. A metaverse display apparatus, comprising:at least one display adapted to provide an image beam to a left or right eye of a user; andat least one optical component disposed in a transmission path of the image beam, and the optical component includes at least one Fresnel lens, wherein the non-optically active area of the Fresnel lens is coated with a light absorbing material, the position of the user's direct frontal line of sight projected on the surface of the optical component being off-center from the optical center of the optical component in an upward direction or a downward direction opposite the upward direction, the eccentricity distance is greater than 0 mm and less than or equal to 10% of the height of the optical assembly, wherein the optical center is a position where an optical axis of the optical component passes through the optical component, the upward direction is a direction perpendicular to a horizontal line-of-sight plane of the user, and the upward direction is defined as a direction from the neck to the top of the head of the user and the height is a width of the optical component in a direction close to the upward direction and perpendicular to the optical axis.</t>
  </si>
  <si>
    <t>US20200005284 A1 | WO2020092900 A2</t>
  </si>
  <si>
    <t>2022-11-24</t>
  </si>
  <si>
    <t>2021-05-19</t>
  </si>
  <si>
    <t>2023-11-19</t>
  </si>
  <si>
    <t>A system for tokenizing an item belonging to an item original owner or an item producer including a token management system (TMS) configured to associate a token on a blockchain with the item and to link the token to a wallet of the item original owner or of the item producer wherein the presence of the token in the wallet constitutes a digital proof of ownership of the item wherein the item is provided to a storage facility or a redemption guarantee is provided for the item by the producer and wherein the TMS is configured to record information about the item received from the storage facility or record the redemption guarantee.</t>
  </si>
  <si>
    <t>Systems and methods for tokenized proof of ownership</t>
  </si>
  <si>
    <t>Harkham, Gabriel Joseph</t>
  </si>
  <si>
    <t>IB2022054704W</t>
  </si>
  <si>
    <t>1. A method for tokenizing an item belonging to an item original owner comprising: providing the item to a storage facility; providing a token management system (TMS); and using the TMS to associate a token on a blockchain with the item; and to link the token to a wallet of the item original owner, wherein the presence of the token in the wallet constitutes a digital proof of ownership of the item.</t>
  </si>
  <si>
    <t>1. A method for tokenizing an item belonging to an item original owner comprising: providing the item to a storage facility; providing a token management system (TMS); and using the TMS to associate a token on a blockchain with the item; and to link the token to a wallet of the item original owner, wherein the presence of the token in the wallet constitutes a digital proof of ownership of the item.
2. The method of claim 1, further comprising using the TMS for selling, trading, or gifting the token and the associated item to a new owner including linking the token to a wallet of the new owner and removing the token from the wallet of the original owner.
3. The method of claim 2, wherein the trading takes place in a token market operated within the TMS.
4. The method of claim 3, wherein the token market is configured to enable a buyer of a token to pay a percentage of an asking price and to record the buyer as an intended owner.
5. The method of claim 1, further comprising providing a representation of the item as a virtual item in a metaverse.
6. The method of claim 5, wherein the virtual item is associated with a metaverse avatar corresponding to the owner.
7. The method of claim 5, wherein the TMS is configured to store the virtual item in multiple digital formats corresponding to digital formats required for representing the virtual item in different metaverses.
8. The method of claim 1, wherein a digital image of the item is attached to the token.
9. The method of claim 1 , wherein a live camera feed of the item is provided associated with a URL for viewing the live camera feed, where the URL is attached to the token.
10. The method of claim 1, wherein the token includes token parameters and statistics related to the item including an item name, item description, specific item data related to the type of item, item valuation by a 3rd party or service, date of storage, storage location, location in storage facility, GPS location, owner name, initial value of the item, redemption expiration date/time, original owner wallet address for collecting transfer fees, storage facility wallet address for collecting transfer fees, TMS wallet address for collecting transfer fees, estimated value, cash-redemption value, motion detection in the area of the token, storage environmental data, previous environmental data, and the number of times the token has been sold/bought and at what prices.
11. The method of claim 2, further comprising distributing remuneration related to a token trade to stakeholders including an entity managing the TMS, an entity managing the storage facility, and a node on the blockchain that performs block validation related to the token.
12. The method of claim 1, further comprising providing an app for use by an owner and using of the app for redeeming of the token to provide the item to the token owner.
13. The method of claim 8, wherein the redeeming includes one of shipping the item from the storage facility to the redeemer, or pickup of the item from the storage facility by the redeemer.
14. The method of claim 1, wherein the TMS is configured to record the item as viewable and wherein the storage facility functions as a gallery for viewing the item.
15. A method for tokenizing an item produced by a producer comprising: providing a token management system (TMS), wherein the TMS is configured to record a redemption guarantee related to the item provided by the producer; using the TMS to associate a token on a blockchain with the item; and using the TMS to link the token to a wallet of the producer.
16. The method of claim 15, further comprising using the TMS for selling, trading, or gifting the token and the associated item to a new owner including linking the token to a wallet of the new owner and removing the token from the wallet of the producer.
17. The method of claim 16, wherein the trading takes place in a token market operated within the TMS.
18. The method of claim 17, wherein the token market is configured to enable a buyer of a token to pay a percentage of an asking price and to record the buyer as an intended owner. 
19. The method of claim 15, further comprising providing a representation of the item as a virtual item in a metaverse.
20. The method of claim 19, wherein the virtual item is associated with a metaverse avatar corresponding to the owner.
21. The method of claim 19, wherein the TMS is configured to store the virtual item in multiple digital formats corresponding to digital formats required for representing the virtual item in different metaverses.
22. The method of claim 16, further comprising distributing remuneration related to a token trade to stakeholders including an entity managing the TMS, an entity managing the storage facility, and a node on the blockchain that performs block validation related to the token.
23. The method of claim 15, further comprising providing an app for use by an owner and using of the app for redeeming of the token to provide the item to the token owner .
24. The method of claim 15, wherein the item is a reservation for travel or an event.
25. The method of claim 15, wherein the redeeming includes return of the redemption guarantee to the producer.
26. A system for tokenizing an item belonging to an item original owner or an item producer comprising a token management system (TMS) configured to associate a token on a blockchain with the item, and to link the token to a wallet of the item original owner or of the item producer, wherein the presence of the token in the wallet constitutes a digital proof of ownership of the item, wherein the item is provided to a storage facility, or a redemption guarantee is provided for the item by the producer, and wherein the TMS is configured to record information about the item received from the storage facility or record the redemption guarantee.
27. The system of claim 26, wherein the TMS is further configured to provide for selling, trading, or gifting the token to a new owner including linking the token to a wallet of the new owner.
28. The system of claim 27, wherein the TMS is further configured to operate a token market and the trading takes place in the token market. 
29. The system of claim 28, wherein the token market is configured to enable a buyer of a token to pay a percentage of an asking price and to record the buyer as an intended owner.
30. The system of claim 26, wherein the TMS is further configured to provide a representation of the item as a virtual item in a metaverse.
31. The system of claim 30, wherein the virtual item is associated with a metaverse avatar corresponding to the owner.
32. The system of claim 30, wherein the TMS is further configured to store the virtual item in multiple digital formats corresponding to digital formats required for representing the virtual item in different metaverses.
33. The system of claim 26, wherein a digital image of the item is attached to the token.
34. The system of claim 26, wherein a live camera feed of the item is provided associated with a URL for viewing the live camera feed, where the URL is attached to the token.
35. The system of claim 26, wherein the TMS is further configured to distribute remuneration related to a token trade to stakeholders including an entity managing the TMS, an entity managing the storage facility, and a node on the blockchain that performs block validation related to the token.
36. The system of claim 26, further comprising an app for use by an owner, the app configured to redeem the token in order to provide the item to the token owner.
37. The system of claim 36, wherein the redeeming includes one of shipping the item from the storage facility to the redeemer, pickup of the item from the storage facility by the redeemer or returning of the redemption guarantee to the producer.
38. A non-transitory computer readable medium containing instructions that when executed by at least one processor, cause the at least one processor to perform operations for tokenizing an item belonging to an item original owner or an item producer, the operations comprising: associating a token on a blockchain with the item, and linking the token to a wallet of the item original owner or of the item producer, wherein the presence of the token in the wallet constitutes a digital proof of ownership of the item, wherein the item is provided to a storage facility, or a redemption guarantee is provided for the item by the producer, and wherein the operations further comprise recording information about the item received from the storage facility or recording the redemption guarantee.
39. The non-transitory computer readable medium of claim 38, the operations further comprising providing for selling, trading, or gifting the token to a new owner including linking the token to a wallet of the new owner.
40. The non-transitory computer readable medium of claim 39, the operations further comprising operating a token market, wherein the trading takes place in the token market.
41. The non-transitory computer readable medium of claim 40, wherein the token market is configured to enable a buyer of a token to pay a percentage of an asking price and to record the buyer as an intended owner.
42. The non-transitory computer readable medium of claim 38, the operations further comprising providing a representation of the item as a virtual item in a metaverse.
43. The non-transitory computer readable medium of claim 42, wherein the virtual item is associated with a metaverse avatar corresponding to the owner.
44. The non-transitory computer readable medium of claim 42, the operations further comprising storing the virtual item in multiple digital formats corresponding to digital formats required for representing the virtual item in different metaverses.
45. The non-transitory computer readable medium of claim 38, wherein a digital image of the item is attached to the token.
46. The non-transitory computer readable medium of claim 38, wherein a live camera feed of the item is provided associated with a URL for viewing the live camera feed, where the URL is attached to the token.
47. The non-transitory computer readable medium of claim 38, the operations further comprising distributing remuneration related to a token trade to stakeholders including an entity managing the TMS, an entity managing the storage facility, and a node on the blockchain that performs block validation related to the token. 
48. The non-transitory computer readable medium of claim 38, the operations further comprising by an app for use by an owner, redeeming the token in order to provide the item to the token owner.
49. The non-transitory computer readable medium of claim 48, wherein the redeeming includes one of shipping the item from the storage facility to the redeemer, pickup of the item from the storage facility by the redeemer or returning of the redemption guarantee to the producer.
50. The non-transitory computer readable medium of claim 38, the operations further comprising recording the item as viewable, wherein the storage facility functions as a gallery for viewing the item.</t>
  </si>
  <si>
    <t>AE, AG, AL, AM, AO, AT, AU, AZ, BA, BB, BG, BH, BN, BR, BW, BY, BZ, CA, CH, CL, CN, CO, CR, CU, CZ, DE, DJ, DK, DM, DO, DZ, EC, EE, EG, ES, FI, GB, GD, GE, GH, GM, GT, HN, HR, HU, ID, IL, IN, IQ, IR, IS, IT, JM, JO, JP, KE, KG, KH, KN, KP, KR, KW, KZ, LA, LC, LK, LR, LS, LU, LY, MA, MD, ME, MG, MK, MN, MW, MX, MY, MZ, NA, NG, NI, NO, NZ, OM, PA, PE, PG, PH, PL, PT, QA, RO, RS, RU, RW, SA, SC, SD, SE, SG, SK, SL, ST, SV, SY, TH, TJ, TM, TN, TR, TT, TZ, UA, UG, US, UZ, VC, VN, WS, ZA, ZM, ZW</t>
  </si>
  <si>
    <t>G06F0021640000</t>
  </si>
  <si>
    <t>G06F0021640000 | G06Q0020060000 | G06Q0020120000 | G06Q0020360000 | H04L0009000000 | H04L0009320000</t>
  </si>
  <si>
    <t>G06Q02012000 | G06F02110000 | G06Q02006000 | G06Q02036000 | H04L00900000 | H04L00932000</t>
  </si>
  <si>
    <t>WO2022243939A1</t>
  </si>
  <si>
    <t>WO2022243939 A1</t>
  </si>
  <si>
    <t>I-000232353244</t>
  </si>
  <si>
    <t>30 months from 2021-05-19 (priority date)</t>
  </si>
  <si>
    <t>https://patentscout.innography.com/share/EeyK7PEjIIHHKGKii7zoyg%3D%3D</t>
  </si>
  <si>
    <t>https://patentscout.innography.com/share/EeyK7PEjIIHHKGKii7zoyg%3D%3D/download</t>
  </si>
  <si>
    <t>https://v3.espacenet.com/publicationDetails/biblio?CC=WO&amp;NR=2022243939A1&amp;KC=A1&amp;FT=D&amp;date=20221124&amp;DB=EPODOC&amp;locale=</t>
  </si>
  <si>
    <t>1.  WHAT IS CLAIMED IS:</t>
  </si>
  <si>
    <t>2.  1.  A method for tokenizing an item belonging to an item original owner comprising: providing the item to a storage facility; providing a token management system (TMS); and using the TMS to associate a token on a blockchain with the item; and to link the token to a wallet of the item original owner, wherein the presence of the token in the wallet constitutes a digital proof of ownership of the item.</t>
  </si>
  <si>
    <t>16.  15.  A method for tokenizing an item produced by a producer comprising: providing a token management system (TMS), wherein the TMS is configured to record a redemption guarantee related to the item provided by the producer; using the TMS to associate a token on a blockchain with the item; and using the TMS to link the token to a wallet of the producer.</t>
  </si>
  <si>
    <t>27.  26.  A system for tokenizing an item belonging to an item original owner or an item producer comprising a token management system (TMS) configured to associate a token on a blockchain with the item, and to link the token to a wallet of the item original owner or of the item producer, wherein the presence of the token in the wallet constitutes a digital proof of ownership of the item, wherein the item is provided to a storage facility, or a redemption guarantee is provided for the item by the producer, and wherein the TMS is configured to record information about the item received from the storage facility or record the redemption guarantee.</t>
  </si>
  <si>
    <t>39.  38.  A non-transitory computer readable medium containing instructions that when executed by at least one processor, cause the at least one processor to perform operations for tokenizing an item belonging to an item original owner or an item producer, the operations comprising: associating a token on a blockchain with the item, and linking the token to a wallet of the item original owner or of the item producer, wherein the presence of the token in the wallet constitutes a digital proof of ownership of the item, wherein the item is provided to a storage facility, or a redemption guarantee is provided for the item by the producer, and wherein the operations further comprise recording information about the item received from the storage facility or recording the redemption guarantee.</t>
  </si>
  <si>
    <t>JP2020112713 A | CN113495361 A</t>
  </si>
  <si>
    <t>2018-10-23</t>
  </si>
  <si>
    <t>2021-03-23</t>
  </si>
  <si>
    <t>2017-04-11</t>
  </si>
  <si>
    <t>2018-03-07</t>
  </si>
  <si>
    <t>2038-03-06</t>
  </si>
  <si>
    <t>2018-05-01</t>
  </si>
  <si>
    <t>The invention provides a virtual reality display device which comprises at least one display module an image sensor and an adjusting mechanism. The display module comprises a display and an optical component. The display is used for providing image light beams to eyes of a user the optical assembly is arranged on a transmission path of the image light beams and comprises at least one Fresnel lens and the optical assembly is provided with an optical center. The image sensor is used for measuring the offset distance of the eyes of the user relative to the optical center. The adjusting mechanism is connected to the display and the optical assembly to adjust the inclination angle of the display relative to the optical assembly. The display and the optical assembly are both tilted with respect to the line of the eyes of the user.</t>
  </si>
  <si>
    <t>CN201810187281A</t>
  </si>
  <si>
    <t xml:space="preserve">A metaverse display apparatus, comprising:at least one display module, comprising:a display for providing an image beam to the eyes of a user; andthe optical assembly is arranged on a transmission path of the image light beam and comprises at least one Fresnel lens, wherein the optical assembly is provided with an optical center;an image sensor to measure an offset distance of the eye of the user relative to the optical center; andan adjustment mechanism coupled to the display and the optical assembly to adjust a tilt angle of the display relative to the optical assembly,wherein the display and the optical assembly are both tilted relative to the line connecting the eyes of the user.
</t>
  </si>
  <si>
    <t>1. A metaverse display apparatus, comprising:at least one display module, comprising:a display for providing an image beam to the eyes of a user; andthe optical assembly is arranged on a transmission path of the image light beam and comprises at least one Fresnel lens, wherein the optical assembly is provided with an optical center;an image sensor to measure an offset distance of the eye of the user relative to the optical center; andan adjustment mechanism coupled to the display and the optical assembly to adjust a tilt angle of the display relative to the optical assembly,wherein the display and the optical assembly are both tilted relative to the line connecting the eyes of the user.
2. The metaverse display apparatus of claim 1, further comprising a controller electrically connected to the image sensor and the adjustment mechanism, and configured to command the adjustment mechanism to adjust a tilt angle of the display relative to the optical assembly to an appropriate value according to the offset distance, wherein at the appropriate value, a sharpness of an image displayed by the display as seen in a direct view front of the eyes of the user is better than a sharpness of an image displayed by the display as seen when the eyes of the user are looking obliquely to either side.
3. The metaverse display apparatus of claim 2, wherein the appropriate value is larger as the offset distance is larger.
4. The metaverse display apparatus of claim 1, wherein the at least one display module is two display modules, the two displays of the two display modules respectively provide two image light beams to the left eye and the right eye of the user, the virtual reality display device further comprises a controller electrically connected to the image sensor and the adjusting mechanism, and is used for commanding the adjusting mechanism to respectively adjust the two display devices of the two display modules to a first proper value and a second proper value relative to two inclined angles of two optical components according to the rotation positions of the left eye and the right eye detected by the image sensor, wherein, at the first suitable value and the second suitable value, the difference between the sharpness of the images displayed by the two displays respectively seen by the left eye and the right eye at the rotation positions is reduced.
5. The metaverse display device of claim 4, wherein at the first and second suitable values, a difference between modulation transfer functions of images displayed on the two displays respectively viewed by the left and right eyes at the rotation positions is less than 0.1.
6. The metaverse display device of claim 4, wherein the controller finds the first appropriate value and the second appropriate value according to the rotation positions of the left eye and the right eye detected by the image sensor by looking up a table.
7. The metaverse display apparatus of claim 1, wherein the at least one display module is two display modules, two displays of the two display modules respectively provide two image beams to left and right eyes of the user, and the adjustment mechanism is adapted to adjust a distance between the two display modules to adapt to different distances between pupils of two eyes of different users.
8. The metaverse display device of claim 1, wherein the image sensor is an eye tracker.
9. The metaverse display device of claim 1, wherein the at least one display module is two display modules, two displays of the two display modules respectively provide two image light beams to left and right eyes of the user, and a distance between pupils of two eyes of the user is smaller than a distance between two optical centers of two optical components of the two display modules.
10. The metaverse display device of claim 1, wherein the adjustment mechanism comprises an actuator, the metaverse display device further comprising a controller electrically connected to the image sensor and the actuator and configured to control actuation of the actuator according to the offset distance.</t>
  </si>
  <si>
    <t>Lin, Tzu-chieh|Huang, Chao-shih|Shih, Wei-kuo</t>
  </si>
  <si>
    <t>CN108693645 A</t>
  </si>
  <si>
    <t>G02B0027014900</t>
  </si>
  <si>
    <t>G02B0027014900 | G02B0027009300 | G02B2027015400</t>
  </si>
  <si>
    <t>G02B02701000 | G02B02700000</t>
  </si>
  <si>
    <t>TWI622806B|CN108693645A|TW201837537A|CN108693645B</t>
  </si>
  <si>
    <t>TWI622806 B | CN108693645 A | TW201837537 A | CN108693645 B</t>
  </si>
  <si>
    <t>I-000171451277</t>
  </si>
  <si>
    <t>20 years from 2018-03-06 (the day prior to the file date)</t>
  </si>
  <si>
    <t>https://patentscout.innography.com/share/cklh5TDjMIHVaDcaPpi0yA%3D%3D</t>
  </si>
  <si>
    <t>2018-10-23-PUBLICATION|2018-11-16-ENTRY INTO FORCE OF REQUEST FOR SUBSTANTIVE EXAMINATION|2021-03-23-PATENT GRANT</t>
  </si>
  <si>
    <t>https://patentscout.innography.com/share/cklh5TDjMIHVaDcaPpi0yA%3D%3D/download</t>
  </si>
  <si>
    <t>https://v3.espacenet.com/publicationDetails/biblio?CC=CN&amp;NR=108693645B&amp;KC=B&amp;FT=D&amp;date=20210323&amp;DB=EPODOC&amp;locale=</t>
  </si>
  <si>
    <t>TWI0622806 B</t>
  </si>
  <si>
    <t>马雯雯 | Zang Jianming | 臧建明 | Ma Wenwen</t>
  </si>
  <si>
    <t>1. A metaverse display apparatus, comprising:at least one display module, comprising:a display for providing an image beam to the eyes of a user; andthe optical assembly is arranged on a transmission path of the image light beam and comprises at least one Fresnel lens, wherein the optical assembly is provided with an optical center;an image sensor to measure an offset distance of the eye of the user relative to the optical center; andan adjustment mechanism coupled to the display and the optical assembly to adjust a tilt angle of the display relative to the optical assembly,wherein the display and the optical assembly are both tilted relative to the line connecting the eyes of the user.</t>
  </si>
  <si>
    <t>KR20160044999 A | KR20170032146 A | KR20170104322 A | KR20200022623 A | KR20200033556 A</t>
  </si>
  <si>
    <t>2022-03-10</t>
  </si>
  <si>
    <t>2020-09-03</t>
  </si>
  <si>
    <t>2023-03-03</t>
  </si>
  <si>
    <t>The present invention provides a method for making a coordinate choreography video by using a coordinate or a coordinate moving average line and a method for searching for choreography/choreography plagiarism/choreography copyright by using same. A method for making a coordinate choreography video by using a coordinate or a coordinate moving average line and a method for searching for choreography/choreography plagiarism/choreography copyright by using same according to the present invention are characterized in that a search formula is input on the basis of a coordinate or a coordinate moving average line configured by choreography by a smart device such that choreography data a choreography video combined with a coordinate or a moving average line of the coordinate K-POP choreography or choreography video artworks are compared with data in a copyright server according to the search formula. Accelerations or angular velocities embedded in smart devices (including smartphones and wearable devices) are used to compare XY XYZ coordinates or coordinate moving average lines generated by movements of smart devices worn or held on human bodies with each other such that the degree of similarity of choreography can be determined according to the degree of matching between coordinates or moving average lines of coordinates thereby providing the advantage of easily searching for and comparing choreography similar to copyrighted choreography.</t>
  </si>
  <si>
    <t>Method for making coordinate choreography video by using coordinate/coordinate moving average line, and method for searching for choreography/choreography plagiarism/choreography copyright by using same</t>
  </si>
  <si>
    <t>moving average|average line|plagiarism|coordinate moving|smart device</t>
  </si>
  <si>
    <t>Jang, Eun Ju</t>
  </si>
  <si>
    <t>KR2021011895W</t>
  </si>
  <si>
    <t>Coordinate choreography video using coordinates, characterized in that the coordinates by choreography are created or set in the smart device 10, and the coordinates choreography video is produced in the smart device 10 by matching the generated coordinates with the choreography video data stored in advance production method.</t>
  </si>
  <si>
    <t>Coordinate choreography video using coordinates, characterized in that the coordinates by choreography are created or set in the smart device 10, and the coordinates choreography video is produced in the smart device 10 by matching the generated coordinates with the choreography video data stored in advance production method.
          Set the coordinates by choreography in the smart device 10, first create a coordinate moving average based on the set coordinates, and then match the generated coordinates or coordinate moving average with the pre-stored choreography video data to transfer the coordinate choreography video to the smart device ( 10) Coordinate choreography video production method using coordinates, characterized in that produced in.
          While shooting choreography with a smartphone while wirelessly interworking with the smart device and smartphone worn by the user, coordinates are created at the same time, and the coordinates choreography video is created by matching the generated coordinates or the moving average of the generated coordinates with the video. Coordinate choreography video production method using coordinates, characterized in that produced in the device (10).
          The smart device 10 creates coordinates by choreography, searches the coordinates choreography video stored in the copyright server 20 based on the created coordinates or a moving average line of the coordinates, produces a list according to the degree of similarity, and adds it to the created list. A method for producing a coordinate choreography video using coordinates, characterized in that producing a coordinate choreography video displaying the degree of agreement according to the degree of similarity.
          The method for producing a coordinate choreography video using coordinates according to any one of claims 1 to 4, characterized in that the coordinates or the coordinate choreography video including the moving average line of the coordinates are encrypted in order to secure security.
          The method of claim 5, wherein the encrypted coordinate choreography video is traded in batches or distributedly.
          The method according to any one of claims 1 to 4, wherein the production of the coordinate choreography video is generated by performing choreography while holding or wearing a smart device (10) including a smart phone or a wearable device on the body. The coordinates are stored in the smart device 10 or the platform server 30, and the Internet URL address including the coordinates by calling the Internet URL address where the choreography video is located, such as the coordinates generated through the search box, is matched with the generated coordinates. Coordinate choreography video production method using coordinates, characterized in that for producing.
          According to any one of claims 1 to 4, The coordinate choreography video, Create a choreography by modifying the coordinates or the coordinate moving average line, or move the coordinates or the coordinate moving average line to combine, cut or paste like a block to create a new choreography A method of producing a coordinate choreography video using coordinates, characterized in that it is possible to do so.
          The method of claim 8, wherein the coordinate choreography video is implemented on a metaverse.
          The coordinate metaverse of claim 9 , wherein the coordinate metaverse in which the coordinates on the metaverse or the moving average of the coordinates are matched with the metaverse includes fitness data such as calories and steps and bio data such as heart rate and blood pressure. Produced, coordinates or moving average of coordinates, or coordinates metaverse is executed and when dancing and exercising in metaverse, search for dance match or exercise achievement degree is measured with fitness data such as calories and steps, heart rate, blood pressure and A method of producing a coordinate choreography video using coordinates, characterized in that it is compared, judged, and informed with the same bio data.
          Choreography video, choreography music, Comparing and searching works of K-POP choreography or choreography video by the search formula of choreography audio, choreography lyrics or choreography image with the data of the copyright server 20 and the smart device 10 or the platform server 30 Choreography using coordinates, choreography plagiarism and choreography copyright search method.
          The method of claim 11, wherein the choreography video performs a process (S110) of driving an application installed on the smart device (10) so that coordinates according to the choreography can be set using the user's smart device (10), and the user When the choreography is performed while wearing a smart device or a smart band that is linked to a smart device, a process (S120) of interlocking so that the coordinates according to the choreography are applied to the smart device 10 is performed, and the smart device 10 ) by driving the application to perform the process (S130) of setting XY or XYZ coordinates according to the choreography, and performing the process (S140) of setting the moving average line of the coordinates or coordinates in the smart device 10, and the user coordinates The process of taking a choreography through the smart device 10 by calling a pre-stored choreography video for the choreography performed to set , or performing the choreography performed by the user to set the coordinates again (S150) A choreography video or a choreography video taken by the smart device 10 with the coordinates or moving average line set by
Choreography, choreography plagiarism and choreography copyright search method using coordinates, characterized in that performing a process (S160) of matching with a pre-stored choreography video.
          The smart device (10) or platform of claim 11, wherein the choreography video searches and compares the entire choreography video by comparing the overall coordinate values ​​included in the choreography video with the overall coordinate values ​​included in the copyrighted choreography video. Choreography, choreography plagiarism and choreography copyright search method using coordinates, characterized in that comparison in the server 30.
          According to claim 11, The choreography video, Coordinates are extracted from the choreography video, and the degree of similarity to the choreography registered in the copyright is checked based on the extracted coordinates, and the choreography video is searched through the smart device (10). Choreography, choreography plagiarism and choreography copyright search method using coordinates.
          The choreography using coordinates according to claim 11, wherein the choreography video is encoded in order to produce a coordinate choreography video in a choreography video including coordinates and a moving average of the coordinates or to secure the security of the coordinate choreography video. , choreography plagiarism and choreography copyright search method.
          The method of claim 11, wherein the search for the choreography video comprises: setting coordinates or a moving average line of coordinates by choreography with a smart device (10) (S100);The process of setting a search expression for video, music, audio, or choreography lyrics, images, and metaverse combined with coordinates or moving average by combining with video, music, audio, or choreography lyrics, images, and metaverse based on coordinates or moving average (S200); and a process (S300) of creating a list for each list of data extracted by a search expression of moving images, music, audio or choreography lyrics, images, and metaverses combined with coordinates or a moving average line (S300). Choreography, choreography plagiarism and choreography copyright search method.
          The method according to claim 16, wherein the list by list of S300 shows a degree of matching with a search expression in a list by list on the basis of data stored in the server 30 (%, batch order, batch order, batch location, batch size, batch number, Choreography, choreography plagiarism and choreography copyright search method using coordinates, characterized in that the process (S400) further includes the process (S400) of displaying the degree of agreement in various ways such as color, graph, number, sound, voice, text, picture, image, etc.
          The method of claim 11, wherein the search for the choreography video searches for a score in which music and a choreography video including coordinates already included in the music video are synchronized according to the degree of similarity, and matches the choreography video to the score in the data match. A choreography, choreography plagiarism and choreography copyright search method using coordinates, characterized in that the user views a choreography video that optimally matches the music composed by the user and creates a choreography suitable for new music or music.
          According to claim 11, The search for the choreography video, Coordinates generated by holding or wearing the smart device (10) in a state in which the search window is activated, or a moving average line of coordinates and the platform server (30) Or search for a title that matches the coordinates of the data stored in the copyright server 20 or the moving average of the coordinates, and search for video, music, audio, lyrics, sheet music, images, meta from the Internet URL address linked to the portal site by the title. A choreography, choreography plagiarism and choreography copyright search method using coordinates, characterized in that the result is displayed by calling data from the bus, and the user directly compares the degree of matching of the choreography by looking at the displayed result.
          According to claim 11, The search for the choreography video, Coordinates or coordinates of data stored in the platform server 30 or the copyright server 20 and the coordinates generated by choreography while holding or wearing the smart device (10) Search for an Internet URL address that matches the moving average of Choreography, choreography plagiarism and choreography copyright search method using coordinates, characterized in that the user directly sees and compares the degree of choreography.</t>
  </si>
  <si>
    <t>Jang, Eun Ju|Kim, Il Han|Kim, Jae Wook</t>
  </si>
  <si>
    <t>G06F0016903200</t>
  </si>
  <si>
    <t>G06F0016903200 | G06F0016903800 | G06F0021100000 | G06Q0050100000 | G06Q0050180000</t>
  </si>
  <si>
    <t>G06Q05010000 | G06F01690320 | G06F01690380 | G06F02110000 | G06Q05018000</t>
  </si>
  <si>
    <t>WO2022050739A1</t>
  </si>
  <si>
    <t>WO2022050739 A1 | KR20220030887 A</t>
  </si>
  <si>
    <t>I-000222432415</t>
  </si>
  <si>
    <t>30 months from 2020-09-03 (priority date)</t>
  </si>
  <si>
    <t>https://patentscout.innography.com/share/Aa6BTsxaTi3zBVrcdXxweA%3D%3D</t>
  </si>
  <si>
    <t>2022-04-20-EP: THE EPO HAS BEEN INFORMED BY WIPO THAT EP WAS DESIGNATED IN THIS APPLICATION</t>
  </si>
  <si>
    <t>https://patentscout.innography.com/share/Aa6BTsxaTi3zBVrcdXxweA%3D%3D/download</t>
  </si>
  <si>
    <t>https://v3.espacenet.com/publicationDetails/biblio?CC=WO&amp;NR=2022050739A1&amp;KC=A1&amp;FT=D&amp;date=20220310&amp;DB=EPODOC&amp;locale=</t>
  </si>
  <si>
    <t>WO2021200373 A1</t>
  </si>
  <si>
    <t>WO2022050739 A1</t>
  </si>
  <si>
    <t>KR20220030887 A</t>
  </si>
  <si>
    <t>1.  Coordinate choreography video using coordinates, characterized in that the coordinates by choreography are created or set in the smart device 10 , and the coordinates choreography video is produced in the smart device 10 by matching the generated coordinates with the choreography video data stored in advance production method.</t>
  </si>
  <si>
    <t>2.  Set the coordinates by choreography in the smart device 10 , first create a coordinate moving average based on the set coordinates, and then match the generated coordinates or coordinate moving average with the pre-stored choreography video data to transfer the coordinate choreography video to the smart device ( 10 ) Coordinate choreography video production method using coordinates, characterized in that produced in.</t>
  </si>
  <si>
    <t>3.  While shooting choreography with a smartphone while wirelessly interworking with the smart device and smartphone worn by the user, coordinates are created at the same time, and the coordinates choreography video is created by matching the generated coordinates or the moving average of the generated coordinates with the video. Coordinate choreography video production method using coordinates, characterized in that produced in the device (10 ).</t>
  </si>
  <si>
    <t>4.  The smart device 10 creates coordinates by choreography, searches the coordinates choreography video stored in the copyright server 20 based on the created coordinates or a moving average line of the coordinates, produces a list according to the degree of similarity, and adds it to the created list. A method for producing a coordinate choreography video using coordinates, characterized in that producing a coordinate choreography video displaying the degree of agreement according to the degree of similarity.</t>
  </si>
  <si>
    <t>11.  Choreography video, choreography music, Comparing and searching works of K-POP choreography or choreography video by the search formula of choreography audio, choreography lyrics or choreography image with the data of the copyright server 20 and the smart device 10 or the platform server 30 Choreography using coordinates, choreography plagiarism and choreography copyright search method.</t>
  </si>
  <si>
    <t>KR101116538 B1 | KR20180065955 A</t>
  </si>
  <si>
    <t>2022-03-11</t>
  </si>
  <si>
    <t>The present invention discloses a method for producing a coordinate choreography video using coordinates or a coordinate moving average and a method for choreography choreography plagiarism and choreography copyright search using the same. The method for producing a coordinate choreography video using coordinates or a coordinate moving average according to the present invention and a choreography choreography plagiarism and choreography copyright search method using the coordinates or coordinates moving average line by entering a search formula based on the coordinates or coordinate moving average line set by the choreography by a smart device It is characterized in that the works of K-POP choreography or choreography videos are compared with the data of the copyright server by the search formula of the choreography video combined with the coordinates or the moving average line of the coordinates and smart devices (including smartphones and wearable devices) XY XYZ coordinates or coordinate moving average lines generated by the movement of a smart device worn or held on the body using the built-in acceleration and angular velocity are compared with each other Since the degree can be determined there is an effect that it is easy to search and compare choreography that is similar to the choreography registered in the copyright.</t>
  </si>
  <si>
    <t>The method of producting coordinate choreography video by using coordinate or coordinate moving average and method of searching choreography, plagiarism, copyright using the same</t>
  </si>
  <si>
    <t>KR20210112887A</t>
  </si>
  <si>
    <t>Coordinate choreography video using coordinates, characterized in that the coordinates by choreography are created or set in the smart device 10, and the coordinates choreography video is produced in the smart device 10 by matching the generated coordinates with the choreography video data stored in advance production method.
Set the coordinates by choreography in the smart device 10, first create a coordinate moving average based on the set coordinates, and then match the generated coordinates or coordinate moving average with the pre-stored choreography video data to transfer the coordinate choreography video to the smart device ( 10) Coordinate choreography video production method using coordinates, characterized in that produced in.
While shooting choreography with a smartphone while wirelessly interworking with the smart device and smartphone worn by the user, coordinates are created at the same time, and the coordinates choreography video is created by matching the generated coordinates or the moving average of the generated coordinates with the video. Coordinate choreography video production method using coordinates, characterized in that produced in the device (10).
The smart device 10 creates coordinates by choreography, searches the coordinates choreography video stored in the copyright server 20 based on the created coordinates or a moving average line of the coordinates, produces a list according to the degree of similarity, and adds it to the created list. A method of producing a coordinate choreography video using coordinates, characterized in that producing a coordinate choreography video displaying the degree of agreement according to the degree of similarity.
[Claim 5] The method for producing a coordinate choreography video using coordinates according to any one of claims 1 to 4, wherein the coordinate choreography video including the coordinates or a moving average line of the coordinates is encrypted in order to secure security.
[Claim 6] The method of claim 5, wherein the encrypted coordinate choreography video is traded collectively or distributedly.
The method according to any one of claims 1 to 4, wherein the production of the coordinate choreography video is generated by performing choreography while holding or wearing a smart device (10) including a smart phone or a wearable device on the body. The coordinates are stored in the smart device 10 or the platform server 30, and the Internet URL address that contains the coordinates by calling the Internet URL address where the choreography video is located, such as the coordinates generated through the search window, and matching the created coordinates Coordinate choreography video production method using coordinates, characterized in that for producing.
The method according to any one of claims 1 to 4, wherein the coordinate choreography video creates a choreography by modifying coordinates or a coordinate moving average line, or moves the coordinates or a coordinate moving average line to combine, cut or paste like a block to create a new choreography. A method of producing a coordinate choreography video using coordinates, characterized in that it is possible to do so.
The method of claim 8, wherein the coordinate choreography video is implemented on a metaverse.
The coordinate metaverse according to claim 9, wherein the coordinate metaverse, in which the coordinates on the metaverse or a moving average line of the coordinates are matched with the metaverse, includes fitness data such as calories and steps and bio data such as heart rate and blood pressure. Produced, coordinates or moving average of coordinates, or coordinates metaverse is executed and when dancing and exercising in metaverse, search for dance match or exercise achievement degree is measured with fitness data such as calories and steps, heart rate, blood pressure and A method of producing a coordinate choreography video using coordinates, characterized in that it is compared, judged, and informed with the same bio data.
Choreography video, choreography music, Comparing and searching works of K-POP choreography or choreography video by the search formula of choreography audio, choreography lyrics or choreography image with the data of the copyright server 20 and the smart device 10 or the platform server 30 Choreography using coordinates, choreography plagiarism and choreography copyright search method.
The method according to claim 11, wherein the choreography video performs a process (S110) of driving an application installed on the smart device (10) so that coordinates according to the choreography can be set using the user's smart device (10), and the user When the choreography is performed while wearing a smart device or a smart band that is linked to a smart device, a process (S120) of interlocking so that the coordinates according to the choreography are applied to the smart device 10 is performed, and the smart device 10 ), the process of setting XY or XYZ coordinates according to the choreography is performed (S130), and the process of setting the moving average line of the coordinates or coordinates in the smart device 10 (S140) is performed, and the user The process of recording the choreography through the smart device 10 by calling a pre-stored choreography video for the choreography performed to set the
Choreography using coordinates, choreography plagiarism and How to search for choreography copyright.
The smart device (10) or platform according to claim 11, wherein the choreography video searches and compares the entire choreography video by comparing the overall coordinate values included in the choreography video with the global coordinate values included in the copyrighted choreography video Choreography, choreography plagiarism and choreography copyright search method using coordinates, characterized in that comparison in the server 30.
The method of claim 11, wherein the choreography video extracts coordinates from the choreography video, checks the similarity with the choreography registered in the copyright based on the extracted coordinates, and searches the choreography video through the smart device (10). Choreography, choreography plagiarism and choreography copyright search method using coordinates.
The choreography using coordinates according to claim 11, wherein the choreography video is encoded in order to produce a coordinate choreography video in a choreography video including coordinates and a moving average of the coordinates or to secure the security of the coordinate choreography video. , choreography plagiarism and choreography copyright search method.
The method according to claim 11, wherein the search for the choreography video comprises: setting coordinates or a moving average line of coordinates by choreography with a smart device (10) (S100);The process of setting a search expression for
video, music, audio, or choreography lyrics, images, and metaverse combined with coordinates or moving average by combining with video, music, audio, or choreography lyrics, images, and metaverse based on coordinates or moving average (S200); and a process (S300) of creating a list for each list of data extracted by a search expression of moving images, music, audio or choreography lyrics, images, and metaverses combined with coordinates or moving average lines (S300). Choreography, choreography plagiarism and choreography copyright search method.
The method according to claim 16, wherein the list by list of S300 shows the degree of matching with the search expression in the list by list based on the data stored in the server 30 (%, batch order, batch order, batch position, batch size, batch number, Choreography, choreography plagiarism and choreography copyright search method using coordinates, characterized in that the process (S400) further includes the process (S400) of displaying the degree of agreement in various ways such as color, graph, number, sound, voice, text, picture, image, etc.
12. The method of claim 11, wherein the search for the choreography video searches for a score in which the choreography video including the coordinates already included in the music and music video is synchronized according to the degree of similarity, and the choreography video matching the score is displayed in the data match. Choreography, choreography plagiarism and choreography copyright search method using coordinates, characterized in that the user views a choreography video that optimally matches the music composed by the user and creates a choreography suitable for new music or music.
12. The method of claim 11, wherein the search for the choreography video is coordinates generated by performing choreography while holding or wearing the smart device 10 in a state in which the search window is activated, or a moving average line of coordinates and the platform server (30) Alternatively, search for a title that matches the coordinates of the data stored in the copyright server 20 or the moving average of the coordinates, and search for video, music, audio, lyrics, sheet music, images, and meta from the Internet URL address linked to the portal site by the title. A choreography, choreography plagiarism and choreography copyright search method using coordinates, characterized in that the result is displayed by calling data from the bus, and the user directly compares the degree of matching of the choreography by looking at the displayed result.
12. The method of claim 11, wherein the search for the choreography video, the coordinates or coordinates of the data stored in the platform server 30 or the copyright server 20 and the coordinates generated by choreography in a state of holding or wearing the smart device (10) Search the Internet URL address that matches the moving average of Choreography, choreography plagiarism and choreography copyright search method using coordinates, characterized in that the user directly sees and compares the degree of choreography.</t>
  </si>
  <si>
    <t>G06Q0050100000 | G06F0016903200 | G06F0016903800 | G06F0021100000 | G06Q0050184000 | G06Q2220100000</t>
  </si>
  <si>
    <t>KR20220030887A</t>
  </si>
  <si>
    <t>I-000223550507</t>
  </si>
  <si>
    <t>https://patentscout.innography.com/share/69JJrTEvoXHOeZi_BmGV_A%3D%3D</t>
  </si>
  <si>
    <t>https://patentscout.innography.com/share/69JJrTEvoXHOeZi_BmGV_A%3D%3D/download</t>
  </si>
  <si>
    <t>https://v3.espacenet.com/publicationDetails/biblio?CC=KR&amp;NR=20220030887A&amp;KC=A&amp;FT=D&amp;date=20220311&amp;DB=EPODOC&amp;locale=</t>
  </si>
  <si>
    <t>4.  The smart device 10 creates coordinates by choreography, searches the coordinates choreography video stored in the copyright server 20 based on the created coordinates or a moving average line of the coordinates, produces a list according to the degree of similarity, and adds it to the created list. A method of producing a coordinate choreography video using coordinates, characterized in that producing a coordinate choreography video displaying the degree of agreement according to the degree of similarity.</t>
  </si>
  <si>
    <t>2022-05-31</t>
  </si>
  <si>
    <t>2042-05-31</t>
  </si>
  <si>
    <t>The invention relates to the field virtual reality technology field especially relates to a universe and reality space-time recombination element mixing system. The system comprises a three-dimensional data interaction module and a universe reality mixing scene module wherein the three-dimensional data interaction module comprises a data collecting sub-module and a data editing mixing sub-module the universe reality mixing scene module comprises a scene constructing sub-module and a scene feedback sub-modu; three-dimensional data interaction module and universe reality mixed scene module can edit the three-dimensional data obtained by the environment of the target object in real time space the scene building sub-module and the scene feedback sub-module can construct and display feedback of the mixed environment of the universe and reality space-time at the same time the three-dimensional data interaction module is also used for feeding back the mixed environment of the universe and reality space-time so as to construct the mixed environment of the high reality of the universe and reality space-time greatly improving the presence of the visitor in the universe environment.</t>
  </si>
  <si>
    <t>A universe and reality space-time recombination element mixing system</t>
  </si>
  <si>
    <t>Anhui Aladdin Aerospace Co., Ltd.</t>
  </si>
  <si>
    <t>Anhui Aladin Aerospace Co., Ltd.</t>
  </si>
  <si>
    <t>ANHUI ALADIN AEROSPACE CO., LTD.</t>
  </si>
  <si>
    <t>CN202210613277A</t>
  </si>
  <si>
    <t>1. A universe and reality space-time recombination element mixing system, wherein it comprises: a three-dimensional data interaction module, the three-dimensional data interaction module comprises a data collecting sub-module and a data editing and mixing sub-module, the data collecting sub-module is used for image data of target object in real time space, audio data and input and output data, the data editing and mixing sub-module is used for performing three-dimensional modeling data editing to the image data collected by the data collecting sub-module, audio data and input and output data; a universe reality mixed scene module, the universe reality mixed scene module comprises a scene constructing sub-module and a scene feedback sub-modu; wherein, the data editing and mixing sub-module, the scene constructing sub-module and the scene feedback sub-module are in data communication connection through the communication network device, the scene constructing sub-module is capable of constructing mixed environment of meta-space and reality space-time according to the three-dimensional modeling data edited by the data editing and mixing sub-module, the scene feedback sub-module is used for feeding back the scene constructing sub-module constructed by the visitor to construct the mixed environment of the meta-space and reality space.</t>
  </si>
  <si>
    <t>1. A universe and reality space-time recombination element mixing system, wherein it comprises: a three-dimensional data interaction module, the three-dimensional data interaction module comprises a data collecting sub-module and a data editing and mixing sub-module, the data collecting sub-module is used for image data of target object in real time space, audio data and input and output data, the data editing and mixing sub-module is used for performing three-dimensional modeling data editing to the image data collected by the data collecting sub-module, audio data and input and output data; a universe reality mixed scene module, the universe reality mixed scene module comprises a scene constructing sub-module and a scene feedback sub-modu; wherein, the data editing and mixing sub-module, the scene constructing sub-module and the scene feedback sub-module are in data communication connection through the communication network device, the scene constructing sub-module is capable of constructing mixed environment of meta-space and reality space-time according to the three-dimensional modeling data edited by the data editing and mixing sub-module, the scene feedback sub-module is used for feeding back the scene constructing sub-module constructed by the visitor to construct the mixed environment of the meta-space and reality space.2. The universe and reality space-time recombination element mixing system according to claim 1, wherein the data collecting sub-module comprises a data interaction component, an illumination copying component and a bidirectional visitor scene feedback component, the data interaction component is used for obtaining the image data of the target object or the environment, audio data and input and output data, at the same time, playing the three-dimensional modeling data, the illumination copying module is used for re-carving the light intensity of the target object environment, the bidirectional visitor scene feedback component is used for displaying the mixed environment of the meta-space constructed by the scene building sub-module and the reality space-time to the visitor, the data editing and mixing sub-module is capable of editing three-dimensional modeling data according to the image data, audio data and input and output data, and performing data communication with the communication network device.3. The universe and reality space-time recombination element mixing system according to claim 2, wherein the data interaction component comprises an input device, a digital remote control and a first sound pick-up device. the first image obtaining component the laser scanner device and the digital remote control for model the data information, the first sound pickup for obtaining the sound data of the environment of the target object, the first image obtaining the image data for obtaining the component object or the laser scanner.4. The universe and reality space-time recombination element mixing system according to claim 2, wherein the illumination copying assembly comprises a first colour temperature data obtaining component the first colour temperature data obtaining the component object or the environment of the luminosity data, chroma data, illumination data and brightness data, the illumination re-etching device uses the light video camera data and the colour temperature data in the mixing environment as the target value, re-etching to the intensity and colour temperature of the environment of the target object or target object.5. The metaverse and reality space-time recombination element mixing system according to claim 1, wherein the data editing and mixing sub-module comprises a computer, an image processing and component first communication component the computer and the image processing component according to the obtained image data, audio data, input and output data, light intensity data and color temperature data for editing the three-dimensional modeling data, the first communication component used for transmitting the three-dimensional modeling data to the communication network device.6. The system according to claim 1, wherein the scene building sub-module comprises a visitor body data obtaining component, a visitor body re-carving component, a visitor body label display component. a second communication component and a central processor, the visitor body data obtaining component, the visitor body re-carving component, the visitor identity label display component and the second communication component are electrically connected with the central processor, the visitor body data obtaining component is used for obtaining the image data and audio data in the mixed environment of the universe and reality space-time, inputting and outputting data, the visitor re-carving assembly uses the video camera as the visitor, the visitor re-carving assembly uses the moving mechanism to re-carving the position of the visitor head position, the posture and orientation of the head of the visitor uses the cloud platform to re-scribe on the video camera, the sound of the visitor is played on the video camera the visitor identification label display component is used for displaying the video of the visitor, head portrait and identification, the second communication component connected with the communication network device in communication.7. The meta-space and reality space-time recombination element blending system according to claim 6, wherein the visitor body data obtaining component comprises a second image obtaining component, a second sound pick-up and a second colour temperature data obtaining component and so on, the second image obtaining component the second sound pickup and the second color temperature data component are used for obtaining the image video camera of the visual angle in the mixed environment of the universe and reality space-time, audio data, input and output data and the light intensity and color temperature data on the video camera8. The metaverse and reality space-time recombination element mixing system according to claim 1, wherein the scene feedback sub-module comprises a scene re-etching component and an environment feedback component, the scene re-etching component is electrically connected with the environment feedback component, the scene re-carving component is used for remarking the universe and reality space-time mixed environment according to the three-dimensional modeling data; the environment feedback component is capable of feeding back the meta-space and real time mixed environment of the visitor.9. The universe and reality space-time recombination element mixing system according to claim 8, wherein the scene copy module comprises a control host and a third communication component the environment feedback component comprises a VR helmet and gyroscope, the control host is capable of remarking the meta-space and real time space-time mixing environment according to the three-dimensional modeling data; the VR helmet and the gyroscope are used for displaying and feeding back the visitor by the mixed environment of the universe and reality space-time.10. The metaverse and reality space-time recombination element mixing system according to claim 1, wherein the communication network device comprises a database, a switch and a server, the database and the switch are electrically connected with the server, the database is used for editing the mixed sub-module for the data, the data between the scene constructing sub-module and the scene feedback sub-module is stored, the switch is used for the data editing and mixing sub-module, the data communication connection between the scene constructing sub-module and the scene feedback sub-module is connected.</t>
  </si>
  <si>
    <t>Wu, Lihai</t>
  </si>
  <si>
    <t>G06F0003011000 | G06F0003167000 | G06T0019006000</t>
  </si>
  <si>
    <t>G06F00301000 | G06F00316000 | G06T01900000</t>
  </si>
  <si>
    <t>CN114924650A</t>
  </si>
  <si>
    <t>CN114924650 A</t>
  </si>
  <si>
    <t>I-000228910007</t>
  </si>
  <si>
    <t>20 years from 2022-05-31 (file date)</t>
  </si>
  <si>
    <t>https://patentscout.innography.com/share/-87wYTxrMDd6T1i87XTkbg%3D%3D</t>
  </si>
  <si>
    <t>2022-08-19-PUBLICATION|2022-09-06-ENTRY INTO FORCE OF REQUEST FOR SUBSTANTIVE EXAMINATION</t>
  </si>
  <si>
    <t>https://patentscout.innography.com/share/-87wYTxrMDd6T1i87XTkbg%3D%3D/download</t>
  </si>
  <si>
    <t>https://v3.espacenet.com/publicationDetails/biblio?CC=CN&amp;NR=114924650A&amp;KC=A&amp;FT=D&amp;date=20220819&amp;DB=EPODOC&amp;locale=</t>
  </si>
  <si>
    <t>1.  1.  A universe and reality space-time recombination element mixing system, wherein it comprises: a three-dimensional data interaction module, the three-dimensional data interaction module comprises a data collecting sub-module and a data editing and mixing sub-module, the data collecting sub-module is used for image data of target object in real time space, audio data and input and output data, the data editing and mixing sub-module is used for performing three-dimensional modeling data editing to the image data collected by the data collecting sub-module, audio data and input and output data; a universe reality mixed scene module, the universe reality mixed scene module comprises a scene constructing sub-module and a scene feedback sub-modu; wherein, the data editing and mixing sub-module, the scene constructing sub-module and the scene feedback sub-module are in data communication connection through the communication network device, the scene constructing sub-module is capable of constructing mixed environment of meta-space and reality space-time according to the three-dimensional modeling data edited by the data editing and mixing sub-module, the scene feedback sub-module is used for feeding back the scene constructing sub-module constructed by the visitor to construct the mixed environment of the meta-space and reality space.</t>
  </si>
  <si>
    <t>US11232767 B2</t>
  </si>
  <si>
    <t>2020-11-10</t>
  </si>
  <si>
    <t>2017-05-18</t>
  </si>
  <si>
    <t>2037-05-17</t>
  </si>
  <si>
    <t>The invention provides a method for improving image quality. The method is used in a virtual reality device and comprises the following steps: receiving image data and sensing information; dividing the image data into a plurality of regions corresponding to different resolutions according to first parameter information wherein the resolutions correspond to different frequencies; rendering the region in a single pass according to the sensing information and the different frequencies and outputting rendered image data; and analyzing the rendered image data into final output image data with a first resolution according to second parameter information.</t>
  </si>
  <si>
    <t>Method for improving image quality and virtual reality device</t>
  </si>
  <si>
    <t>virtual reality device|virtual reality|reality device|sensing information|parameter information|time information|signal</t>
  </si>
  <si>
    <t>Shanghai Zhaoxin Semiconductor Co., Ltd.</t>
  </si>
  <si>
    <t>VIA ALLIANCE SEMICONDUCTOR CO., LTD.</t>
  </si>
  <si>
    <t>CN201710351562A</t>
  </si>
  <si>
    <t xml:space="preserve">A method for improving image quality, the method being used in a metaverse apparatus, comprising:receiving image data and sensing information;dividing the image data into a plurality of regions corresponding to different resolutions according to first parameter information, wherein the resolutions correspond to different frequencies;judging whether to adjust the different frequencies according to the sensing information;receiving time information from a time sensor, wherein the time information at least comprises a previous frame workload, a current frame workload and a time stamping ratio;estimating an ending time of a current frame according to the time information;judging whether the ending time is before a video synchronous signal Vsync or not; andgenerating a cue signal to indicate to adjust the different frequencies when the ending time cannot be before the video synchronization signal Vsync;rendering the region in a single pass according to the different frequencies and outputting rendered image data; andthe rendered image data is analyzed to be a final output image data with a first resolution according to a second parameter information.
</t>
  </si>
  <si>
    <t>1. A method for improving image quality, the method being used in a metaverse apparatus, comprising:receiving image data and sensing information;dividing the image data into a plurality of regions corresponding to different resolutions according to first parameter information, wherein the resolutions correspond to different frequencies;judging whether to adjust the different frequencies according to the sensing information;receiving time information from a time sensor, wherein the time information at least comprises a previous frame workload, a current frame workload and a time stamping ratio;estimating an ending time of a current frame according to the time information;judging whether the ending time is before a video synchronous signal Vsync or not; andgenerating a cue signal to indicate to adjust the different frequencies when the ending time cannot be before the video synchronization signal Vsync;rendering the region in a single pass according to the different frequencies and outputting rendered image data; andthe rendered image data is analyzed to be a final output image data with a first resolution according to a second parameter information.
2. The method of claim 1, wherein the first parameter information is transmitted from a driver, and comprises screen coordinate information and distance information.
3. The method of claim 1, wherein after receiving the sensing information, the method further comprises:converting the sensing information to a quality level; andrendering the region according to the different frequencies and the quality levels, and outputting the rendered image data.
4. The method of claim 1, wherein the sensing information is transmitted by a sensor, the sensor is an acceleration sensor, and the sensing information is an acceleration value.
5. The method of claim 1, wherein the sensing information is transmitted by a sensor, the sensor is a gyro sensor, and the sensing information is a rotation angle.
6. The method of claim 1, wherein the sensing information is transmitted by a sensor, the sensor is a temperature sensor, and the sensing information is a temperature of a processor.
7. The method of claim 1, wherein the sensed information is transmitted from a sensor, the sensor is an eye tracking sensor, and the sensed information is a fixation area at which the eye is fixed.
8. The method of claim 1, wherein the image data is a rasterized image data.
9. A metaverse apparatus that improves image quality, comprising:a graphics processor; anda memory coupled to the graphics processor;wherein the graphics processor is configured to execute program code stored in the memory to perform:receiving image data and sensing information;dividing the image data into a plurality of regions corresponding to different resolutions according to first parameter information, wherein the resolutions correspond to different frequencies;judging whether to adjust the different frequencies according to the sensing information;receiving time information from a time sensor, wherein the time information at least comprises a previous frame workload, a current frame workload and a time stamping ratio;estimating an ending time of a current frame according to the time information;judging whether the ending time is before a video synchronous signal Vsync or not; andgenerating a cue signal to indicate to adjust the different frequencies when the ending time cannot be before the video synchronization signal Vsync;rendering the region in a single pass according to the different frequencies and outputting rendered image data; andthe rendered image data is analyzed to be a final output image data with a first resolution according to a second parameter information.
10. The metaverse apparatus according to claim 9, wherein the first parameter information is transmitted from a driver, and includes screen coordinate information and distance information.
11. The metaverse apparatus according to claim 9, wherein after receiving the sensing information, the graphics processor further executes program code stored in the memory to:converting the sensing information to a quality level; andrendering the region according to the different frequencies and the quality levels, and outputting the rendered image data.
12. The metaverse apparatus according to claim 9, wherein the sensing information is transmitted from a sensor, the sensor is an acceleration sensor, and the sensing information is an acceleration value.
13. The metaverse apparatus according to claim 9, wherein the sensing information is transmitted from a sensor, the sensor is a gyro sensor, and the sensing information is a rotation angle.
14. The metaverse apparatus according to claim 9, wherein the sensing information is transmitted from a sensor, the sensor is a temperature sensor, and the sensing information is a temperature of a processor.
15. The metaverse apparatus according to claim 9, wherein the sensing information is transmitted from a sensor, the sensor is an eye tracking sensor, and the sensing information is a fixation area at which an eye is fixed.
16. The metaverse apparatus according to claim 9, wherein the image data is a rasterized image data.</t>
  </si>
  <si>
    <t>Gu, Deming|Wu, Fengxia|Zhang, Huaisheng|Zhang, Wei</t>
  </si>
  <si>
    <t>CN107194891 A</t>
  </si>
  <si>
    <t>G06T0005002000</t>
  </si>
  <si>
    <t>G06T0005002000 | G09G0005391000 | G06F0003147000 | G06T0015205000 | G09G2340040700 | G09G2340160000 | G09G0005024000 | G09G0005140000 | G09G2320027100</t>
  </si>
  <si>
    <t>G06T00500000</t>
  </si>
  <si>
    <t>G06T00500000 | G06T01520000</t>
  </si>
  <si>
    <t>CN107194891A|TWI622957B|US20180336867A1|TW201901615A|US10482850B2|CN107194891B</t>
  </si>
  <si>
    <t>CN107194891 A | TWI622957 B | US20180336867 A1 | TW201901615 A | US10482850 B2 | CN107194891 B</t>
  </si>
  <si>
    <t>I-000185266476</t>
  </si>
  <si>
    <t>20 years from 2017-05-17 (the day prior to the file date)</t>
  </si>
  <si>
    <t>https://patentscout.innography.com/share/Zc1Ds2ETc9kaV-bTa1k08Q%3D%3D</t>
  </si>
  <si>
    <t>2017-09-22-PUBLICATION|2017-10-24-ENTRY INTO FORCE OF REQUEST FOR SUBSTANTIVE EXAMINATION|2020-11-10-PATENT GRANT|2021-12-07-TRANSFER OF PATENT RIGHT</t>
  </si>
  <si>
    <t>https://patentscout.innography.com/share/Zc1Ds2ETc9kaV-bTa1k08Q%3D%3D/download</t>
  </si>
  <si>
    <t>https://v3.espacenet.com/publicationDetails/biblio?CC=CN&amp;NR=107194891B&amp;KC=B&amp;FT=D&amp;date=20201110&amp;DB=EPODOC&amp;locale=</t>
  </si>
  <si>
    <t>王新宇 | Wang Xinyu</t>
  </si>
  <si>
    <t>1. A method for improving image quality, the method being used in a metaverse apparatus, comprising:receiving image data and sensing information;dividing the image data into a plurality of regions corresponding to different resolutions according to first parameter information, wherein the resolutions correspond to different frequencies;judging whether to adjust the different frequencies according to the sensing information;receiving time information from a time sensor, wherein the time information at least comprises a previous frame workload, a current frame workload and a time stamping ratio;estimating an ending time of a current frame according to the time information;judging whether the ending time is before a video synchronous signal Vsync or not; andgenerating a cue signal to indicate to adjust the different frequencies when the ending time cannot be before the video synchronization signal Vsync;rendering the region in a single pass according to the different frequencies and outputting rendered image data; andthe rendered image data is analyzed to be a final output image data with a first resolution according to a second parameter information.</t>
  </si>
  <si>
    <t>9. A metaverse apparatus that improves image quality, comprising:a graphics processor; anda memory coupled to the graphics processor;wherein the graphics processor is configured to execute program code stored in the memory to perform:receiving image data and sensing information;dividing the image data into a plurality of regions corresponding to different resolutions according to first parameter information, wherein the resolutions correspond to different frequencies;judging whether to adjust the different frequencies according to the sensing information;receiving time information from a time sensor, wherein the time information at least comprises a previous frame workload, a current frame workload and a time stamping ratio;estimating an ending time of a current frame according to the time information;judging whether the ending time is before a video synchronous signal Vsync or not; andgenerating a cue signal to indicate to adjust the different frequencies when the ending time cannot be before the video synchronization signal Vsync;rendering the region in a single pass according to the different frequencies and outputting rendered image data; andthe rendered image data is analyzed to be a final output image data with a first resolution according to a second parameter information.</t>
  </si>
  <si>
    <t>CN113341563 A | CN113759446 A</t>
  </si>
  <si>
    <t>2018-12-07</t>
  </si>
  <si>
    <t>2020-12-22</t>
  </si>
  <si>
    <t>2017-05-22</t>
  </si>
  <si>
    <t>2037-05-21</t>
  </si>
  <si>
    <t>The invention provides a virtual reality display device which comprises at least one display and at least one optical assembly. The display is adapted to provide an image beam to the left or right eye of a user. The optical assembly is arranged on the transmission path of the image light beam and is positioned between the display and the left eye or the right eye of a user. The optical assembly comprises a first Fresnel lens wherein the first Fresnel lens comprises a plurality of annular structures surrounding an optical axis of the first Fresnel lens and each annular structure is provided with an effective refraction surface and a non-optical effective surface positioned between the optical axis and the effective refraction surface. The average inclination angle of the plurality of non-optically effective surfaces of the first Fresnel lens in the central region with respect to the optical axis is smaller than the average inclination angle of the plurality of non-optically effective surfaces of the first Fresnel lens in the edge region with respect to the optical axis.</t>
  </si>
  <si>
    <t>CN201710362270A</t>
  </si>
  <si>
    <t xml:space="preserve">A metaverse display apparatus, comprising:at least one display adapted to provide an image beam to a left or right eye of a user; andat least one optical component disposed on the transmission path of the image beam and located between the display and the left or right eye of the user, the optical component includes a first fresnel lens, the first fresnel lens includes a plurality of ring structures surrounding the optical axis thereof, each ring structure has an effective refractive surface and a non-optical effective surface located between the optical axis and the effective refractive surface, the average inclination angle of the non-optical effective surfaces of the first fresnel lens in the central area with respect to the optical axis is smaller than the average inclination angle of the non-optical effective surfaces of the first fresnel lens in the edge area with respect to the optical axis, the first fresnel lens is a specific area on the side close to the center of the user's eyebrow with respect to the optical axis and located at a position from 0.1 to 0.5 half-times diameter from the optical axis and perpendicular to the optical axis, the effective refraction surface of each annular structure in the specific area refracts the image light beam, and then the inclination angle of the traveling direction of the image light beam relative to the non-optical effective surface of the annular structure is smaller than or equal to 15 degrees.
</t>
  </si>
  <si>
    <t>1. A metaverse display apparatus, comprising:at least one display adapted to provide an image beam to a left or right eye of a user; andat least one optical component disposed on the transmission path of the image beam and located between the display and the left or right eye of the user, the optical component includes a first fresnel lens, the first fresnel lens includes a plurality of ring structures surrounding the optical axis thereof, each ring structure has an effective refractive surface and a non-optical effective surface located between the optical axis and the effective refractive surface, the average inclination angle of the non-optical effective surfaces of the first fresnel lens in the central area with respect to the optical axis is smaller than the average inclination angle of the non-optical effective surfaces of the first fresnel lens in the edge area with respect to the optical axis, the first fresnel lens is a specific area on the side close to the center of the user's eyebrow with respect to the optical axis and located at a position from 0.1 to 0.5 half-times diameter from the optical axis and perpendicular to the optical axis, the effective refraction surface of each annular structure in the specific area refracts the image light beam, and then the inclination angle of the traveling direction of the image light beam relative to the non-optical effective surface of the annular structure is smaller than or equal to 15 degrees.
2. The metaverse display apparatus of claim 1, wherein a plurality of inclination angles of the non-optically effective surface with respect to the optical axis at a plurality of different positions arranged along a circumferential direction of each ring-shaped structure are different from each other so that an inclination direction of the non-optically effective surface matches a traveling direction of the image beam refracted by the effective refracting surface of the ring-shaped structure.
3. The metaverse display device of claim 1, wherein the non-optically active surface of each ring structure is non-axisymmetric.
4. The metaverse display device of claim 1, wherein the plurality of non-optically active surfaces of the plurality of ring structures are covered with a plurality of light absorbing material layers, respectively.
5. The metaverse display device of claim 1, wherein the first Fresnel lens has a smooth surface facing away from the plurality of annular structures, and an anti-reflection layer is disposed on the smooth surface.
6. The metaverse display device of claim 5, wherein the smooth surface is a plane and the plurality of ring structures are located between the display and the smooth surface.
7. The metaverse display device of claim 5, wherein the smooth surface is a curved concave surface or a curved convex surface.
8. The metaverse display device of claim 1, wherein the optical assembly further comprises a second fresnel lens disposed in a transmission path of the image light beam between the display and the first fresnel lens, or between the first fresnel lens and a left eye or a right eye of the user.
9. The virtual reality display device of claim 1, wherein the at least one display is two displays, the at least one optical assembly is two optical assemblies, the two displays respectively provide two image beams, the two image beams are respectively transmitted to the left eye and the right eye of the user through the two optical assemblies, and the distance between the pupils of the left eye and the right eye is smaller than the distance between the optical centers of the two first fresnel lenses of the two optical assemblies.
10. The metaverse display device of claim 1, wherein the non-optically effective surface of each annular structure is inclined at an angle equal to or less than 45 degrees with respect to the optical axis.</t>
  </si>
  <si>
    <t>Qiu, Yirong|Shi, Weiguo</t>
  </si>
  <si>
    <t>CN108957743 A</t>
  </si>
  <si>
    <t>G02B0027017200 | G02B0003080000</t>
  </si>
  <si>
    <t>G02B02701000 | G02B00308000</t>
  </si>
  <si>
    <t>CN108957743A|CN108957743B</t>
  </si>
  <si>
    <t>CN108957743 A | CN108957743 B</t>
  </si>
  <si>
    <t>I-000172846358</t>
  </si>
  <si>
    <t>20 years from 2017-05-21 (the day prior to the file date)</t>
  </si>
  <si>
    <t>https://patentscout.innography.com/share/7iUZS9cEgtbhEaglstM1Kg%3D%3D</t>
  </si>
  <si>
    <t>2018-12-07-PUBLICATION|2019-01-01-ENTRY INTO FORCE OF REQUEST FOR SUBSTANTIVE EXAMINATION|2020-12-22-PATENT GRANT</t>
  </si>
  <si>
    <t>https://patentscout.innography.com/share/7iUZS9cEgtbhEaglstM1Kg%3D%3D/download</t>
  </si>
  <si>
    <t>https://v3.espacenet.com/publicationDetails/biblio?CC=CN&amp;NR=108957743B&amp;KC=B&amp;FT=D&amp;date=20201222&amp;DB=EPODOC&amp;locale=</t>
  </si>
  <si>
    <t>马雯雯 | Ma Wenwen | Zang Jianming | 臧建明</t>
  </si>
  <si>
    <t>1. A metaverse display apparatus, comprising:at least one display adapted to provide an image beam to a left or right eye of a user; andat least one optical component disposed on the transmission path of the image beam and located between the display and the left or right eye of the user, the optical component includes a first fresnel lens, the first fresnel lens includes a plurality of ring structures surrounding the optical axis thereof, each ring structure has an effective refractive surface and a non-optical effective surface located between the optical axis and the effective refractive surface, the average inclination angle of the non-optical effective surfaces of the first fresnel lens in the central area with respect to the optical axis is smaller than the average inclination angle of the non-optical effective surfaces of the first fresnel lens in the edge area with respect to the optical axis, the first fresnel lens is a specific area on the side close to the center of the user's eyebrow with respect to the optical axis and located at a position from 0.1 to 0.5 half-times diameter from the optical axis and perpendicular to the optical axis, the effective refraction surface of each annular structure in the specific area refracts the image light beam, and then the inclination angle of the traveling direction of the image light beam relative to the non-optical effective surface of the annular structure is smaller than or equal to 15 degrees.</t>
  </si>
  <si>
    <t>AU768367 B2 | AU2005215048 B2 | CA2143874 C | CA2292678 C | CA2552135 C | CN1141641 C | CN1202652 C | CN1219384 C | CN1307544 C | CN1334650 A | CN1494679 A | CN1858757 A | CN100407675 C | CN100423016 C | CN100557637 C | CN101436242 B | CN101801482 B | EP0627728 B1 | EP0668583 B1 | EP0679977 B1 | EP0679978 B1 | EP0717337 B1 | EP0813132 B1 | EP0883087 B1 | EP0890924 B1 | EP0930584 B1 | EP0969430 A1 | EP1021021 B1 | EP1176828 B1 | EP1207694 B1 | EP1377902 B1 | EP1380133 B1 | EP2076888 B1 | GB2339938 B | GB2352154 B | JP3033956 B2 | JP3124916 U3 | JP3177221 U | JP3199231 B2 | JP3210558 B2 | JP3275935 B2 | JP3361745 B2 | JP3368188 B2 | JP3470955 B2 | JP3503774 B2 | JP3575598 B2 | JP3579154 B2 | JP3579823 B2 | JP3701773 B2 | JP3777161 B2 | JP3914430 B2 | JP3942090 B2 | JP3962361 B2 | JP4009235 B2 | JP4225376 B2 | JP4653075 B2 | JP5063698 B2 | JP5159375 B2 | JP5352200 B2 | JP5734566 B2 | JP2001204973 A | JP2004062539 A | JP2005050081 A | JP2005234633 A | KR20020038229 A | KR20030039019 A | MY117864 A | SG55396 A1 | TW527825 B | TW200836091 A | TW200937926 A | TW201002013 A | TW201009746 A | TW201024997 A | TW201028871 A | US5442780 A | US5506902 A | US5530796 A | US5561736 A | US5563946 A | US5685775 A | US5706507 A | US5708764 A | US5734898 A | US5736985 A | US5737416 A | US5737533 A | US5745678 A | US5762552 A | US5768511 A | US5825877 A | US5835094 A | US5835692 A | US5878233 A | US5883628 A | US5900879 A | US5903266 A | US5903271 A | US5911045 A | US5920325 A | US5923324 A | US5933849 A | US5969724 A | US5977979 A | US5990888 A | US6006034 A | US6009458 A | US6014145 A | US6025839 A | US6032129 A | US6059842 A | US6069632 A | US6081270 A | US6081271 A | US6091410 A | US6094196 A | US6098056 A | US6098093 A | US6104406 A | US6105008 A | US6111581 A | US6119229 A | US6134588 A | US6135646 A | US6138152 A | US6144381 A | US6148299 A | US6148328 A | US6154811 A | US6170013 B1 | US6179713 B1 | US6182077 B1 | US6185614 B1 | US6199059 B1 | US6201881 B1 | US6205481 B1 | US6219675 B1 | US6219676 B1 | US6222551 B1 | US6270416 B1 | US6271842 B1 | US6271843 B1 | US6282547 B1 | US6292835 B1 | US6311206 B1 | US6321236 B1 | US6334141 B1 | US6336134 B1 | US6337700 B1 | US6343738 B1 | US6353449 B1 | US6356297 B1 | US6366285 B1 | US6397080 B1 | US6404426 B1 | US6411312 B1 | US6421047 B1 | US6426757 B1 | US6445389 B1 | US6449518 B1 | US6452593 B1 | US6462760 B1 | US6466550 B1 | US6469712 B1 | US6473085 B1 | US6499053 B1 | US6505208 B1 | US6509925 B1 | US6525731 B1 | US6549933 B1 | US6567109 B1 | US6567813 B1 | US6591250 B1 | US6618751 B1 | US6657617 B2 | US6657642 B1 | US6684255 B1 | US6694306 B1 | US6717600 B2 | US6734884 B1 | US6745236 B1 | US6765596 B2 | US6781607 B1 | US6798407 B1 | US6810418 B1 | US6819669 B2 | US6832239 B1 | US6836480 B2 | US6845389 B1 | US6886026 B1 | US6901379 B1 | US6948168 B1 | US6954728 B1 | US6954906 B1 | US6993596 B2 | US7006616 B1 | US7028296 B2 | US7062533 B2 | US7089083 B2 | US7143409 B2 | US7209137 B2 | US7230616 B2 | US7249123 B2 | US7249139 B2 | US7250944 B2 | US7251622 B2 | US7263511 B2 | US7287053 B2 | US7305438 B2 | US7308476 B2 | US7404149 B2 | US7426538 B2 | US7427980 B1 | US7428588 B2 | US7429987 B2 | US7436407 B2 | US7439975 B2 | US7443393 B2 | US7447996 B1 | US7467181 B2 | US7475354 B2 | US7478127 B2 | US7484012 B2 | US7503007 B2 | US7506264 B2 | US7512548 B1 | US7515136 B1 | US7517282 B1 | US7525964 B2 | US7552177 B2 | US7565650 B2 | US7571224 B2 | US7571389 B2 | US7580888 B2 | US7593864 B2 | US7596596 B2 | US7640587 B2 | US7657340 B2 | US7667701 B2 | US7698656 B2 | US7702784 B2 | US7713116 B2 | US7714867 B2 | US7719532 B2 | US7719535 B2 | US7729951 B2 | US7734691 B2 | US7737969 B2 | US7743095 B2 | US7747679 B2 | US7765478 B2 | US7768514 B2 | US7773087 B2 | US7774407 B2 | US7780532 B2 | US7782318 B2 | US7792263 B2 | US7792801 B2 | US7792808 B2 | US7796128 B2 | US7797168 B2 | US7801228 B2 | US7805680 B2 | US7808500 B2 | US7814152 B2 | US7824253 B2 | US7827318 B2 | US7843471 B2 | US7844663 B2 | US7847799 B2 | US7856469 B2 | US7873485 B2 | US7882222 B2 | US7882243 B2 | US7884819 B2 | US7886045 B2 | US7890623 B2 | US7893936 B2 | US7904829 B2 | US7921128 B2 | US7940265 B2 | US7945620 B2 | US7945802 B2 | US7958047 B2 | US7958055 B2 | US7962751 B2 | US7970837 B2 | US7970840 B2 | US7985138 B2 | US7990387 B2 | US7996164 B2 | US7996264 B2 | US8001161 B2 | US8004518 B2 | US8005025 B2 | US8006182 B2 | US8013861 B2 | US8018453 B2 | US8018462 B2 | US8019797 B2 | US8019858 B2 | US8022948 B2 | US8022950 B2 | US8026913 B2 | US8028021 B2 | US8028022 B2 | US8037416 B2 | US8041614 B2 | US8046700 B2 | US8051462 B2 | US8055656 B2 | US8056121 B2 | US8057307 B2 | US8062130 B2 | US8063905 B2 | US8070601 B2 | US8082245 B2 | US8085267 B2 | US8089481 B2 | US8092288 B2 | US8095881 B2 | US8099338 B2 | US8099668 B2 | US8102334 B2 | US8103640 B2 | US8103959 B2 | US8105165 B2 | US8108774 B2 | US8113959 B2 | US8117551 B2 | US8125485 B2 | US8127235 B2 | US8127236 B2 | US8128487 B2 | US8131740 B2 | US8132235 B2 | US8134560 B2 | US8139060 B2 | US8139780 B2 | US8140340 B2 | US8140620 B2 | US8140978 B2 | US8140982 B2 | US8145676 B2 | US8145725 B2 | US8149241 B2 | US8151191 B2 | US8156184 B2 | US8165350 B2 | US8171407 B2 | US8171408 B2 | US8171559 B2 | US8174541 B2 | US8176421 B2 | US8176422 B2 | US8184092 B2 | US8184116 B2 | US8185450 B2 | US8185829 B2 | US8187067 B2 | US8199145 B2 | US8203561 B2 | US8214335 B2 | US8214433 B2 | US8214750 B2 | US8214751 B2 | US8217953 B2 | US8219616 B2 | US8230045 B2 | US8230338 B2 | US8233005 B2 | US8234234 B2 | US8234579 B2 | US8239775 B2 | US8241131 B2 | US8245241 B2 | US8245283 B2 | US8265253 B2 | US8310497 B2 | US8334871 B2 | US8360886 B2 | US8364804 B2 | US8370370 B2 | US8425326 B2 | US8442946 B2 | US8506372 B2 | US8514249 B2 | US8554841 B2 | US8607142 B2 | US8607356 B2 | US8624903 B2 | US8626836 B2 | US8692835 B2 | US8721412 B2 | US8827816 B2 | US8838640 B2 | US8849917 B2 | US8911296 B2 | US8924308 B1 | US8992316 B2 | US9083654 B2 | US9152914 B2 | US9205328 B2 | US9286731 B2 | US9299080 B2 | US9364746 B2 | US9525746 B2 | US9583109 B2 | US9682324 B2 | US9764244 B2 | US9789406 B2 | US9808722 B2 | US10386988 B1 | US20010007979 A1 | US20010049651 A1 | US20010056383 A1 | US20020002514 A1 | US20020007319 A1 | US20020073043 A1 | US20020095387 A1 | US20020105533 A1 | US20020125312 A1 | US20020169644 A1 | US20020169665 A1 | US20030004774 A1 | US20030014423 A1 | US20030135433 A1 | US20030164827 A1 | US20040001616 A1 | US20040014514 A1 | US20040030888 A1 | US20040053690 A1 | US20040107125 A1 | US20040122553 A1 | US20040143852 A1 | US20040163133 A1 | US20040166935 A1 | US20040167880 A1 | US20040172339 A1 | US20040228291 A1 | US20040243664 A1 | US20040268386 A1 | US20050021472 A1 | US20050054381 A1 | US20050071306 A1 | US20050075934 A1 | US20050102188 A1 | US20050137015 A1 | US20050143174 A1 | US20050177428 A1 | US20050177453 A1 | US20050182729 A1 | US20050192864 A1 | US20050216346 A1 | US20050216361 A1 | US20050240531 A1 | US20050251512 A1 | US20050253840 A1 | US20060004659 A1 | US20060028475 A1 | US20060031128 A1 | US20060161788 A1 | US20060178966 A1 | US20060178968 A1 | US20060178975 A1 | US20060194632 A1 | US20060195462 A1 | US20060258462 A1 | US20070002057 A1 | US20070026942 A1 | US20070050716 A1 | US20070066400 A1 | US20070087822 A1 | US20070087831 A1 | US20070111770 A1 | US20070112574 A1 | US20070155508 A1 | US20070214117 A1 | US20070218987 A1 | US20070223607 A1 | US20070226176 A1 | US20070233839 A1 | US20070247979 A1 | US20070255677 A1 | US20070265969 A1 | US20070282695 A1 | US20070288387 A1 | US20080004094 A1 | US20080004116 A1 | US20080014917 A1 | US20080086382 A1 | US20080097891 A1 | US20080133392 A1 | US20080159634 A1 | US20080162317 A1 | US20080207327 A1 | US20080208749 A1 | US20080209527 A1 | US20080215540 A1 | US20080215975 A1 | US20080220876 A1 | US20080222104 A1 | US20080228607 A1 | US20080235111 A1 | US20080252716 A1 | US20080263460 A1 | US20080275789 A1 | US20080281622 A1 | US20080282090 A1 | US20080288343 A1 | US20080297515 A1 | US20090030774 A1 | US20090063283 A1 | US20090083192 A1 | US20090089157 A1 | US20090094225 A1 | US20090099925 A1 | US20090100352 A1 | US20090113448 A1 | US20090144633 A1 | US20090157495 A1 | US20090157625 A1 | US20090210885 A1 | US20090216546 A1 | US20090228550 A1 | US20090234948 A1 | US20090235191 A1 | US20090248544 A1 | US20090254417 A1 | US20090287765 A1 | US20090299960 A1 | US20090307021 A1 | US20100030578 A1 | US20100169798 A1 | US20100205179 A1 | US20100210349 A1 | US20100293569 A1 | US20110010270 A1 | US20110107433 A1 | US20110126272 A1 | US20110208615 A1 | US20110261071 A1 | US20130111367 A1 | US20140344725 A1 | US20160191671 A1 | US20170052676 A1 | US20180104595 A1 | USRE38375 E | USRE38865 E | WO0062231 A1 | WO0203645 A2 | WO02073457 A2 | WO03049459 A1 | WO03058518 A2 | WO2004086212 A1 | WO2005079538 A2 | WO2007101785 A1 | WO2008037599 A1 | WO2008074627 A2 | WO2008095767 A1 | WO2009037257 A2 | WO2009104564 A1 | WO2010096738 A1 | CN101001678 B | TW424213 B | US20200311245 A1 | WO02087156 A2</t>
  </si>
  <si>
    <t>US11413536 B2</t>
  </si>
  <si>
    <t>2030-11-05</t>
  </si>
  <si>
    <t>Methods and systems for determining the authenticity of copied objects in a virtual environment</t>
  </si>
  <si>
    <t xml:space="preserve">A system for determining copying of objects in a virtual environment, the system comprising a server computer in communication with one or more client computers, the server computer configured to:
store information about at least some of the objects in the virtual environment, wherein the information comprises at least a unique ID and authenticity data corresponding to at least some of the objects in the virtual environment;
process a copying request from the one or more client computers, wherein the copying request corresponds to one object of the at least some of the objects in the virtual environment, wherein processing the copying request copies the one object to form a copied object in said virtual environment, and wherein the copying request is processed by storing information corresponding to the copied object together with information corresponding to the one object;
process an inquiry request for the copied object from the one or more client computers; and
generate authenticity information corresponding to the copied object, wherein the authenticity information indicates the copying of the one object and whether the copied object is fake or genuine.
</t>
  </si>
  <si>
    <t>1. A system for determining copying of objects in a virtual environment, the system comprising a server computer in communication with one or more client computers, the server computer configured to:
store information about at least some of the objects in the virtual environment, wherein the information comprises at least a unique ID and authenticity data corresponding to at least some of the objects in the virtual environment;
process a copying request from the one or more client computers, wherein the copying request corresponds to one object of the at least some of the objects in the virtual environment, wherein processing the copying request copies the one object to form a copied object in said virtual environment, and wherein the copying request is processed by storing information corresponding to the copied object together with information corresponding to the one object;
process an inquiry request for the copied object from the one or more client computers; and
generate authenticity information corresponding to the copied object, wherein the authenticity information indicates the copying of the one object and whether the copied object is fake or genuine.
2. The system of claim 1, wherein, upon receiving the inquiry request for the copied object, the server computer is configured to communicate via the one or more client computers with an owner of the one object being copied.
3. The system of claim 1, wherein the one or more client computers comprises a first client computer, a second client computer, and a third client computer, wherein the one object is owned by a first user corresponding to the first client computer and a first avatar of the virtual environment, wherein the copying request is received from the second client computer corresponding to a second user and a second avatar of the virtual environment, and wherein the request for the copied object is received from the third client computer corresponding to a third user and a third avatar of the virtual environment.
4. The system of claim 1, wherein processing the copying request corresponding to the one object further comprises creating a unique object ID for the copied object and storing the unique object ID for the copied object together with a unique object ID of the one object.
5. The system of claim 1, wherein the information about at least some of the objects in the virtual environment further comprises an expiration time of the authenticity data and a history of at least any one of a creation, a copying, a modification or a transfer of at least some of the objects in the virtual environment.
6. The system of claim 1, wherein the one object is an accessory object for an avatar in the virtual environment and wherein the authenticity data further comprises manager information specifying a manager of a brand of the accessory object, a brand name indicating a name of the brand, and logo data indicating a logo of the brand.
7. The system of claim 1, wherein the one object is an employee badge object of an avatar in the virtual environment and wherein the authenticity data further comprises owner information specifying an owner of the employee badge object, data indicating a name of a company, and logo data indicating a logo of the company.
8. The system of claim 1, wherein the one object is a ticket having an expiration time in the virtual environment and wherein information corresponding to the one object comprises time period data indicating an expiration time of authenticity information.
9. A computer-implemented method of determining copying of an object in a virtual environment, the method being implemented in a computer system having one or more physical processors programmed with computer program instructions that, when executed by the one or more physical processors, cause the computer system to perform the method, the method comprising:
using the computer system, storing information corresponding to each object in the virtual environment wherein the information comprises at least a unique object ID and authenticity data;
using the computer system, processing a copying request from one or more client computers to copy an object in the virtual environment, to thereby create a copied object in the virtual environment, by storing information for the copied object, wherein the information for the copied object comprises at least a unique object ID and authenticity information indicative of the copying of the object; and
using the computer system, processing a request for the copied object from the one or more client computers by using the unique object ID of the copied object and returning the authenticity information indicative of the copying of the object and whether the copied object is fake or genuine.
10. The method of claim 9, wherein the computer program instructions, when executed, further cause the computer system to communicate with an owner of the copied object upon receiving a request for the copied object and to convey the request for the copied object to the owner.
11. The method of claim 9, wherein processing the copying request further comprises creating a unique object ID for the copied object and storing the unique object ID for the copied object along with a unique ID of the object.
12. The method of claim 9, wherein the information corresponding to each object in the virtual environment further comprises an expiration time of the authenticity data and a history of at least any one of a creation, a copying, a modification and a transfer of the object.
13. The method of claim 9, wherein the object is an accessory object for an avatar in the virtual environment and wherein the authenticity data of the object further comprises manager information specifying a manager of a brand of the accessory object, a name indicating a name of the brand, and logo data indicating a logo of the brand.
14. The method of claim 9, wherein the object is an employee badge object of an avatar in the virtual environment, wherein the authenticity data further comprises owner information specifying an owner of the employee badge object, a company name indicating a name of the company, and logo data indicating a logo of the company.
15. The method of claim 9, wherein the object is a ticket having an expiration time and wherein the information corresponding to each object in the virtual environment comprises time period information indicating an expiration time of the authenticity data.
16. A computer program product for determining copying of an object in a virtual environment, computer program product comprising:
one or more tangible, non-transitory computer readable storage devices;
program instructions, stored on at least one the one or more tangible, non-transitory computer readable storage devices that, when executed, cause a computer to:
store information corresponding to the object, wherein the information comprises at least a unique object ID and authenticity information;
process a copying request corresponding to the object, from one or more of the client computers, to form a copied object in the virtual environment, by storing information about the copied object, wherein the information comprises at least a unique object ID and authenticity data indicative of a copying of the object; and
process a request for the copied object from one or more of the client computers by using the unique object ID of the copied object and returning the corresponding authenticity data indicative of a copying of the object and whether the copied object is fake or genuine.
17. The computer program product of claim 16, wherein the program instructions when executed, further cause the computer to communicate, via one or more client computers and upon receiving a request for the copied object, with an owner of the object being copied and conveying the request to the owner.
18. The computer program product of claim 16, wherein the object is an accessory object for an avatar, wherein the authenticity data of the object further comprises manager information specifying a manager of a brand of the accessory object, a name indicating a name of the brand, and logo data indicating a logo of the brand.
19. The computer program product of claim 16, wherein the object is an employee badge object of an avatar, wherein the authenticity data further comprises owner information specifying an owner of the employee badge object, a company name, and logo data.
20. The computer program product of claim 16, wherein the object is a ticket having an expiration time and wherein the information comprises time period information indicating an expiration time of the authenticity data.</t>
  </si>
  <si>
    <t>20 years from 2009-03-06 (file date of patent US20090228550) plus a term adjustment of 609 days</t>
  </si>
  <si>
    <t>https://patentscout.innography.com/share/SQKCgPZr4SJY4vReviXl4g%3D%3D</t>
  </si>
  <si>
    <t>https://patentscout.innography.com/share/SQKCgPZr4SJY4vReviXl4g%3D%3D/download</t>
  </si>
  <si>
    <t>https://ppubs.uspto.gov/pubwebapp/external.html?q=10981069.pn.</t>
  </si>
  <si>
    <t>1. A system for determining copying of objects in a virtual environment, the system comprising a server computer in communication with one or more client computers, the server computer configured to:
store information about at least some of the objects in the virtual environment, wherein the information comprises at least a unique ID and authenticity data corresponding to at least some of the objects in the virtual environment;
process a copying request from the one or more client computers, wherein the copying request corresponds to one object of the at least some of the objects in the virtual environment, wherein processing the copying request copies the one object to form a copied object in said virtual environment, and wherein the copying request is processed by storing information corresponding to the copied object together with information corresponding to the one object;
process an inquiry request for the copied object from the one or more client computers; and
generate authenticity information corresponding to the copied object, wherein the authenticity information indicates the copying of the one object and whether the copied object is fake or genuine.</t>
  </si>
  <si>
    <t>9. A computer-implemented method of determining copying of an object in a virtual environment, the method being implemented in a computer system having one or more physical processors programmed with computer program instructions that, when executed by the one or more physical processors, cause the computer system to perform the method, the method comprising:
using the computer system, storing information corresponding to each object in the virtual environment wherein the information comprises at least a unique object ID and authenticity data;
using the computer system, processing a copying request from one or more client computers to copy an object in the virtual environment, to thereby create a copied object in the virtual environment, by storing information for the copied object, wherein the information for the copied object comprises at least a unique object ID and authenticity information indicative of the copying of the object; and
using the computer system, processing a request for the copied object from the one or more client computers by using the unique object ID of the copied object and returning the authenticity information indicative of the copying of the object and whether the copied object is fake or genuine.</t>
  </si>
  <si>
    <t>16. A computer program product for determining copying of an object in a virtual environment, computer program product comprising:
one or more tangible, non-transitory computer readable storage devices;
program instructions, stored on at least one the one or more tangible, non-transitory computer readable storage devices that, when executed, cause a computer to:
store information corresponding to the object, wherein the information comprises at least a unique object ID and authenticity information;
process a copying request corresponding to the object, from one or more of the client computers, to form a copied object in the virtual environment, by storing information about the copied object, wherein the information comprises at least a unique object ID and authenticity data indicative of a copying of the object; and
process a request for the copied object from one or more of the client computers by using the unique object ID of the copied object and returning the corresponding authenticity data indicative of a copying of the object and whether the copied object is fake or genuine.</t>
  </si>
  <si>
    <t>US20210314293 A1</t>
  </si>
  <si>
    <t>2022-04-14</t>
  </si>
  <si>
    <t>2020-10-09</t>
  </si>
  <si>
    <t>2021-09-10</t>
  </si>
  <si>
    <t>2041-09-10</t>
  </si>
  <si>
    <t>A method for sequential authentication based on chain of authentication using public key infrastructure (PKI) is provided. The method includes generating by a user a first private key and a first public key corresponding to each other; generating by an nth service provider an nth private key and an nth public key corresponding to each other; transmitting from the user to the nth service provider a level n key; verifying by the nth service provider the level n key; generating by the nth service provider a level (n+1) key by concatenating the level n key and the nth public key signed with the nth private key; and transmitting by the nth service provider the level (n+1) key to the user where n is a natural number and when n=1 the level 1 key is the first public key signed with the first private key.</t>
  </si>
  <si>
    <t>Chain of authentication using public key infrastructure</t>
  </si>
  <si>
    <t>Choi Unho</t>
  </si>
  <si>
    <t>US17/472068</t>
  </si>
  <si>
    <t xml:space="preserve">A method comprising:
generating, by a user, a first private key and a first public key corresponding to each other;
generating, by a service provider, a second private key and a second public key corresponding to each other;
transmitting, from the user to the service provider, the first public key signed with the first private key;
verifying, by the service provider, the received first public key signed with the first private key;
in response to successfully verifying the received first public key signed with the first private key, generating, by the service provider, a level 2 key by concatenating the first public key signed with the first private key and the second public key signed with the second private key; and
transmitting, by the service provider, the level 2 key to the user.
</t>
  </si>
  <si>
    <t>1. A method comprising:
generating, by a user, a first private key and a first public key corresponding to each other;
generating, by a service provider, a second private key and a second public key corresponding to each other;
transmitting, from the user to the service provider, the first public key signed with the first private key;
verifying, by the service provider, the received first public key signed with the first private key;
in response to successfully verifying the received first public key signed with the first private key, generating, by the service provider, a level 2 key by concatenating the first public key signed with the first private key and the second public key signed with the second private key; and
transmitting, by the service provider, the level 2 key to the user.
2. A method comprising:
generating, by a user, a first private key and a first public key corresponding to each other;
generating, by an nth service provider, an nth private key and an nth public key corresponding to each other;
transmitting, from the user to the nth service provider, a level n key;
generating, by the nth service provider, a level (n+1) key by concatenating the level n key and the nth public key signed with the nth private key; and
transmitting, by the nth service provider, the level (n+1) key to the user,
wherein n is a natural number, and
wherein when n=1, the level 1 key is the first public key signed with the first private key.
3. The method of claim 2, further comprising:
verifying, by the nth service provider, the level n key.
4. The method of claim 2, wherein a level of the key is visually displayed on a virtual representation of the user in a virtual environment or a metaverse.
5. The method of claim 4, wherein the level of the key is displayed by a number of rings over the virtual representation of the user, colors of rings over the virtual representation of the user, colors of rosary on the virtual representation of the user, a number of stones on a gauntlet or a glove worn by the virtual representation of the user, a color of glasses worn by the virtual representation of the user, a length of a wand or a baton or a light sword that the virtual representation of the user possesses, or any combination thereof.
6. The method of claim 2, wherein the first private key and the first public key are generated based on a first public key certificate in which a first code is inserted, and
wherein the first code includes information associated with biometric data or a combination of pieces of biometric data, information associated with unique identity information, information associated with an Internet of Things device, information associated with a QR code, information associated with an identity information, information associated with electronic money, information associated with a cryptographic hash function address, information associated with a crypto currency, information associated with digital cash, information associated with central bank digital currency (CBDC), information associated with blockchain, information associated with a decentralized identifier (DID), information associated with metaverse, information associated with virtual property on metaverse, or any combination thereof.
7. The method of claim 2, further comprising:
resetting, by the user, the level n key to the level 1 key.
8. The method of claim 2, further comprising:
restoring, by the user, the level (n+1) key to the level n key.
9. The method of claim 8, further comprising:
recovering, by the user, from the level n key to the level (n+1) key.
10. The method of claim 2, further comprising:
decreasing, by the user, a level of the key; and
transferring, by the user, rights of the key to another user.
11. A method for virtual meeting, comprising:
displaying a virtual representation of a participant; and
displaying authentication status information of the participant,
wherein the authentication status information of the participant includes information configured for authentication based on a public key infrastructure (PKI) certificate.
12. The method of claim 11, wherein the virtual representation of the participant is implemented as a picture, an avatar, a memoji, a hologram, an emoticon, an emoji, or any combination thereof.
13. The method of claim 11, wherein the information configured for authentication based on the PKI certificate includes a biometric code contained in the PKI certificate.
14. The method of claim 13, wherein the biometric code includes an object identifier (OID), a distinguished encoding rules (DER) code, a user verification index (UVI) code, or any combination thereof.
15. The method of claim 11, wherein the authentication status information of the participant further includes information associated with network connection status, information associated with type of device that the participant is using to participate in the virtual meeting, information associated with payment method, information associated with cryptocurrency, information associated with central bank digital currency (CBDC), information associated with a blockchain, information associated with GPS location, information associated with IP address, information associated with MAC address, information associated with metaverse, information associated with virtual property on metaverse, or any combination thereof.
16. The method of claim 11, further comprising:
displaying privacy information of the participant that is preset by the participant.
17. The method of claim 16, wherein the privacy information of the participant is preset by the participant, and
wherein the privacy information is set among open, closed, and research purpose only, compliant to a privacy regulation.
18. The method of claim 11, further comprising:
receiving votes from other participants; and
evicting the participant from the virtual meeting in response to a number of the votes from other participants exceeding a predetermined number.
19. The method of claim 18, further comprising:
reporting the evicted participant to a law enforcement agency.
20. The method of claim 11, further comprising:
receiving votes from other participants; and
providing a trap to entice the participant in response to a number of the votes from other participants exceeding a predetermined number,
wherein the participant's behavior in the trap is collected and preserved as forensic evidence.
21. The method of claim 11, wherein the authentication status information is displayed in the form of one or more angel rings appearing over a head of the virtual representation of the participant with predetermined colors.
22. The method of claim 21, further comprising:
permitting different activities for the participant based on a number of the angel rings over the head of the virtual representation of the participant.
23. The method of claim 11, wherein the authentication status information is displayed in the form of a designed motion by an angel ring over a head of the virtual representation, a symbol, an air fingertip motion, a hair accessary, a crown, a rosary, a gauntlet, a gauntlet with a ring, a gauntlet with stones, devil's horns, a skull, a wand, a baton, a light sword, or any combination thereof.
24. The method of claim 11, wherein the PKI certificate is implemented as a blockchain certificate, a decentralized identification (DID) certificate, a cryptocurrency certificate, an Internet-of-things (IoT) certificate, an avatar certificate, a manufacturer certificate, a mixed reality certificate, a virtual government certificate, a central bank digital currency (CBDC) certificate, a metaverse certificate, or any combination thereof.
25. The method of claim 11, wherein the virtual representation of the participant and the authentication status information of the participant are visible in a virtual space or a metaverse.</t>
  </si>
  <si>
    <t>Choi, Unho</t>
  </si>
  <si>
    <t>G06Q0010083200</t>
  </si>
  <si>
    <t>G06Q0010083200 | B60L0053300000 | B60L2200100000 | G05D0001029100 | G05D0001104000 | G06Q0020227000 | G06Q0020389000 | H04L0009082500 | H04L0009140000 | H04L0009326300 | H04L0009326500 | H04L2209840000 | G06Q0030018000 | H04L0009089100 | H04L0009323100 | H04L0009324700 | H04L0009326800 | H04L0009500000 | B60L0053650000 | B60L2260320000 | Y02T0010700000 | Y02T0010707200 | Y02T0090120000 | Y02T0090167000 | Y04S0030140000 | G06Q0020065000 | G06Q0020321000 | G06Q0020382150 | G06Q0020382900 | G06Q0020401450 | G06Q0020401500</t>
  </si>
  <si>
    <t>H04L00932000</t>
  </si>
  <si>
    <t>US20220114542A1|US20220116227A1|US20220116231A1|WO2022079488A1|WO2022074449A1|WO2022074450A1</t>
  </si>
  <si>
    <t>US20220114542 A1 | US20220116227 A1 | US20220116231 A1 | WO2022079488 A1 | WO2022074449 A1 | WO2022074450 A1</t>
  </si>
  <si>
    <t>I-000223874445</t>
  </si>
  <si>
    <t>20 years from 2021-09-10 (file date)</t>
  </si>
  <si>
    <t>https://patentscout.innography.com/share/dApv7vrupFIFAwhUaO9fHw%3D%3D</t>
  </si>
  <si>
    <t>2021-10-18-INFORMATION ON STATUS: PATENT APPLICATION AND GRANTING PROCEDURE IN GENERAL</t>
  </si>
  <si>
    <t>https://patentscout.innography.com/share/dApv7vrupFIFAwhUaO9fHw%3D%3D/download</t>
  </si>
  <si>
    <t>https://ppubs.uspto.gov/pubwebapp/external.html?q=20220116231.pn.</t>
  </si>
  <si>
    <t>US20220116231 A1</t>
  </si>
  <si>
    <t>US20220114542 A1</t>
  </si>
  <si>
    <t>1. A method comprising:
generating, by a user, a first private key and a first public key corresponding to each other;
generating, by a service provider, a second private key and a second public key corresponding to each other;
transmitting, from the user to the service provider, the first public key signed with the first private key;
verifying, by the service provider, the received first public key signed with the first private key;
in response to successfully verifying the received first public key signed with the first private key, generating, by the service provider, a level 2 key by concatenating the first public key signed with the first private key and the second public key signed with the second private key; and
transmitting, by the service provider, the level 2 key to the user.</t>
  </si>
  <si>
    <t>2. A method comprising:
generating, by a user, a first private key and a first public key corresponding to each other;
generating, by an nth service provider, an nth private key and an nth public key corresponding to each other;
transmitting, from the user to the nth service provider, a level n key;
generating, by the nth service provider, a level (n+1) key by concatenating the level n key and the nth public key signed with the nth private key; and
transmitting, by the nth service provider, the level (n+1) key to the user,
wherein n is a natural number, and
wherein when n=1, the level 1 key is the first public key signed with the first private key.</t>
  </si>
  <si>
    <t>11. A method for virtual meeting, comprising:
displaying a virtual representation of a participant; and
displaying authentication status information of the participant,
wherein the authentication status information of the participant includes information configured for authentication based on a public key infrastructure (PKI) certificate.</t>
  </si>
  <si>
    <t>US10681038 B1 | US20090099919 A1 | US20100229235 A1 | US20140173462 A1 | US20190237176 A1 | WO2010028341 A1</t>
  </si>
  <si>
    <t>2023-04-09</t>
  </si>
  <si>
    <t>A method for sequential authentication based on chain of authentication using public key infrastructure (PKI) is provided. The method includes generating by a user a first private key and a first public key corresponding to each other; generating by an nth service provider an nth private key and an nth public key corresponding to each other; transmitting from the user to the nth service provider a level n key; verifying by the nth service provider the level n key; generating by the th service provider a level (n+1) key by concatenating the level n key and the nth public key signed with the nth private key; and transmitting by the nth service provider the level (n+1) key to the user where n is a natural number and when n=1 the level 1 key is the first public key signed with the first private key.</t>
  </si>
  <si>
    <t>IB2021000619W</t>
  </si>
  <si>
    <t>1. A method comprising: generating, by a user, a first private key and a first public key corresponding to each other; generating, by a service provider, a second private key and a second public key corresponding to each other; transmitting, from the user to the service provider, the first public key signed with the first private key; verifying, by the service provider, the received first public key signed with the first private key; in response to successfully verifying the received first public key signed with the first private key, generating, by the service provider, a level 2 key by concatenating the first public key signed with the first private key and the second public key signed with the second private key; and transmitting, by the service provider, the level 2 key to the user.</t>
  </si>
  <si>
    <t>1. A method comprising: generating, by a user, a first private key and a first public key corresponding to each other; generating, by a service provider, a second private key and a second public key corresponding to each other; transmitting, from the user to the service provider, the first public key signed with the first private key; verifying, by the service provider, the received first public key signed with the first private key; in response to successfully verifying the received first public key signed with the first private key, generating, by the service provider, a level 2 key by concatenating the first public key signed with the first private key and the second public key signed with the second private key; and transmitting, by the service provider, the level 2 key to the user.
2. A method comprising: generating, by a user, a first private key and a first public key corresponding to each other; generating, by an n111 service provider, an n111 private key and an n111 public key corresponding to each other; transmitting, from the user to the n111 service provider, a level n key; generating, by the n111 service provider, a level (n+1) key by concatenating the level n key and the nth public key signed with the nth private key; and transmitting, by the n111 service provider, the level (n+1) key to the user, wherein n is a natural number, and wherein when n=l, the level 1 key is the first public key signed with the first private key.
3. The method of claim 2, further comprising: verifying, by the nth service provider, the level n key. 
52 
4. The method of claim 2, wherein a level of the key is visually displayed on a virtual representation of the user in a virtual environment or a metaverse.
5. The method of claim 4, wherein the level of the key is displayed by a number of rings over the virtual representation of the user, colors of rings over the virtual representation of the user, colors of rosary on the virtual representation of the user, a number of stones on a gauntlet or a glove worn by the virtual representation of the user, a color of glasses worn by the virtual representation of the user, a length of a wand or a baton or a light sword that the virtual representation of the user possesses, or any combination thereof.
6. The method of claim 2, wherein the first private key and the first public key are generated based on a first public key certificate in which a first code is inserted, and wherein the first code includes information associated with biometric data or a combination of pieces of biometric data, information associated with unique identity information, information associated with an Internet of Things device, information associated with a QR code, information associated with an identity information, information associated with electronic money, information associated with a cryptographic hash function address, information associated with a crypto currency, information associated with digital cash, information associated with central bank digital currency (CBDC), information associated with blockchain, information associated with a decentralized identifier (DID), information associated with metaverse, information associated with virtual property on metaverse, or any combination thereof.
7. The method of claim 2, further comprising: resetting, by the user, the level n key to the level 1 key.
8. The method of claim 2, further comprising: restoring, by the user, the level (n+1) key to the level n key.
9. The method of claim 8, further comprising: 
53 recovering, by the user, from the level n key to the level (n+1) key.
10. The method of claim 2, further comprising: decreasing, by the user, a level of the key; and transferring, by the user, rights of the key to another user.
11. A method for virtual meeting, comprising: displaying a virtual representation of a participant; and displaying authentication status information of the participant, wherein the authentication status information of the participant includes information configured for authentication based on a public key infrastructure (PKI) certificate.
12. The method of claim 11, wherein the virtual representation of the participant is implemented as a picture, an avatar, a memoji, a hologram, an emoticon, an emoji, or any combination thereof.
13. The method of claim 11, wherein the information configured for authentication based on the PKI certificate includes a biometric code contained in the PKI certificate.
14. The method of claim 13, wherein the biometric code includes an object identifier (OID), a distinguished encoding rules (DER) code, a user verification index (UVI) code, or any combination thereof.
15. The method of claim 11, wherein the authentication status information of the participant further includes information associated with network connection status, information associated with type of device that the participant is using to participate in the virtual meeting, information associated with payment method, information associated with cryptocurrency, information associated with central bank digital currency (CBDC), information associated with a blockchain, information associated with GPS location, information associated with IP address, information associated with MAC address, information associated with metaverse, information associated with virtual property on metaverse, or any combination thereof. 
54 
16. The method of claim 11, further comprising: displaying privacy information of the participant that is preset by the participant.
17. The method of claim 16, wherein the privacy information of the participant is preset by the participant, and wherein the privacy information is set among open, closed, and research purpose only, compliant to a privacy regulation.
18. The method of claim 11, further comprising: receiving votes from other participants; and evicting the participant from the virtual meeting in response to a number of the votes from other participants exceeding a predetermined number.
19. The method of claim 18, further comprising: reporting the evicted participant to a law enforcement agency.
20. The method of claim 11, further comprising: receiving votes from other participants; and providing a trap to entice the participant in response to a number of the votes from other participants exceeding a predetermined number, wherein the participant's behavior in the trap is collected and preserved as forensic evidence.
21. The method of claim 11, wherein the authentication status information is displayed in the form of one or more angel rings appearing over a head of the virtual representation of the participant with predetermined colors.
22. The method of claim 21, further comprising: permitting different activities for the participant based on a number of the angel rings over the head of the virtual representation of the participant. 
55 
23. The method of claim 11, wherein the authentication status information is displayed in the form of a designed motion by an angel ring over a head of the virtual representation, a symbol, an air fingertip motion, a hair accessary, a crown, a rosary, a gauntlet, a gauntlet with a ring, a gauntlet with stones, devil's horns, a skull, a wand, a baton, a light sword, or any combination thereof.
24. The method of claim 11, wherein the PKI certificate is implemented as a blockchain certificate, a decentralized identification (DID) certificate, a cryptocurrency certificate, an Internet-of-things (loT) certificate, an avatar certificate, a manufacturer certificate, a mixed reality certificate, a virtual government certificate, a central bank digital currency (CBDC) certificate, a metaverse certificate, or any combination thereof.
25. The method of claim 11, wherein the virtual representation of the participant and the authentication status information of the participant are visible in a virtual space or a metaverse.</t>
  </si>
  <si>
    <t>H04L00932000 | G06K01906000 | G06Q02038000 | H04L00900000 | H04L00908000</t>
  </si>
  <si>
    <t>I-000224215836</t>
  </si>
  <si>
    <t>30 months from 2020-10-09 (priority date)</t>
  </si>
  <si>
    <t>https://patentscout.innography.com/share/bRir-BeY3ILveqv2GCt0Jg%3D%3D</t>
  </si>
  <si>
    <t>2022-05-25-EP: THE EPO HAS BEEN INFORMED BY WIPO THAT EP WAS DESIGNATED IN THIS APPLICATION</t>
  </si>
  <si>
    <t>https://patentscout.innography.com/share/bRir-BeY3ILveqv2GCt0Jg%3D%3D/download</t>
  </si>
  <si>
    <t>https://v3.espacenet.com/publicationDetails/biblio?CC=WO&amp;NR=2022074450A1&amp;KC=A1&amp;FT=D&amp;date=20220414&amp;DB=EPODOC&amp;locale=</t>
  </si>
  <si>
    <t>WO2021149529 A1</t>
  </si>
  <si>
    <t>2.  1.  A method comprising: generating, by a user, a first private key and a first public key corresponding to each other; generating, by a service provider, a second private key and a second public key corresponding to each other; transmitting, from the user to the service provider, the first public key signed with the first private key; verifying, by the service provider, the received first public key signed with the first private key; in response to successfully verifying the received first public key signed with the first private key, generating, by the service provider, a level 2 key by concatenating the first public key signed with the first private key and the second public key signed with the second private key; and transmitting, by the service provider, the level 2 key to the user.</t>
  </si>
  <si>
    <t>3.  2.  A method comprising: generating, by a user, a first private key and a first public key corresponding to each other; generating, by an n111 service provider, an n111 private key and an n111 public key corresponding to each other; transmitting, from the user to the n111 service provider, a level n key; generating, by the n111 service provider, a level (n+1 ) key by concatenating the level n key and the nth public key signed with the nth private key; and transmitting, by the n111 service provider, the level (n+1 ) key to the user, wherein n is a natural number, and wherein when n=l, the level 1 key is the first public key signed with the first private key.</t>
  </si>
  <si>
    <t>12.  11.  A method for virtual meeting, comprising: displaying a virtual representation of a participant; and displaying authentication status information of the participant, wherein the authentication status information of the participant includes information configured for authentication based on a public key infrastructure (PKI) certificate.</t>
  </si>
  <si>
    <t>The invention relates to a method of transposing complex real elements such as buildings open space with topological details and/or indoor ambient space into a virtual model processing and converting the same into a block of visual and text information in a database that will be accessible in a dedicated virtual space the users having the possibility of: - secure access to the information in the database using blockchain technology; - users&amp;#39; interaction in the virtual space in real time where the of users can use the information they have access to or even contribute in a controlled manner to its development; - obtaining additional information inspecting details of the accessed virtual model organizing virtual meetings in digitized spaces creating transacting and collecting NFTs related to digital objects or real objects; - transferring and using the virtual model in a gaming platform.</t>
  </si>
  <si>
    <t>Method for integrating environmental objectives in virtual space and securing a database updated in  real time</t>
  </si>
  <si>
    <t>Universitatea "politehnica" Din TimiŞoara</t>
  </si>
  <si>
    <t>Universitatea Politehnic Din Timioara</t>
  </si>
  <si>
    <t>RO202200100A</t>
  </si>
  <si>
    <t xml:space="preserve">Method for the integration of environmental objectives in virtual space and the securing of the database updated in real time, characterized by the fact that it considers the establishment of a dual database, accessible to interested users, with the possibility of controlling access to the information contained and user interaction,
managed in a way that allows improving the content of the database and its quality, but also the exploitation of the information contained or transited after a procedure carried out in the following stages:- transposing the valuable characteristics of an objective into digital format by: scanning (photogrammetry, laser scanning, LIDAR; for construction, open space with topological details or indoor ambient space, physical objects), video recording and/or audio recording (for goods under copyright protection);- establishing the purpose of bidding for the BIMTwin engineering model of the objective in accordance with the needs of the rightful owner of the actual objective (e.g. tracking the objective over time, organizing information related to structural/architectural interventions on the objective, organizing spaces for exhibitions, events, etc.) ;- for two- or three-dimensional physical objectives, the model is reconstructed in digital, virtual 3D format. It will be transformed into the BIMTwin (DigitalTwin) engineering model by identifying and eliminating nonconformities with reality as well as all information that is not important for the user;- additional information is prepared in the form of text and/or links to external documents, with two- or three-dimensional details (photos, sketches, virtual 3D details) or even instructions for use, guarantees, drawn up in accordance with the purpose of the offer and the profile of the target user ;- after creating and uploading the model to the database with limited access, the BIMTwin model is secured using blockchain to ensure data integrity and limit uncontrolled interventions on the model;- for posting in the virtual space, the MetaTwin model is prepared by reducing the information contained in the BIMTwin model (e.g.: in the case of a virtual tour to promote a tourist objective, installations, fittings, etc. are not of interest) and adding additional information related to the objects of art, history, etc.;RO 135950 AO- MetaTwin models with open architecture (possibility of intervention for changes and control by the legal owner) are loaded into a database accessible online, BIMverse platform. Architectural interventions are limited to clearly defined areas and are subject to the approval of the right holder of the real objective;- the MetaTwin model is completed as a digital representation of the real object and secured in the blockchain to limit unauthorized interventions and preserve data integrity;- the lens, or some parts of the lens, interior and/or exterior components, can be assigned NFTs to be used to guarantee ownership.
The model -used in the method according to the invention- can be: i) the digital representation^ of a real object, figure 2 (as in the case of current trading platforms), ii) the digital form of an asset that cannot be the object of a physical transfer of ownership (e.g. .: works of art, artistic products under copyright protection, sa,) or iii) a completely new element created by users (eg a song, a photo, a sketch, a 3D model, etc.);- for tourist attractions, all art objects (paintings, statues, furniture, etc.) inside will be scanned/photographed separately and will be secured in the blockchain, being assigned NFTs;- users can connect through portals that will ensure the digitization of the user through an avatar (with different levels of detail/complexity), depending according to the preferences declared at registration, they can interact audio and video and have the possibility of organizing in "virtual rooms", for the exchange of opinions, discussions and transactions in private;- the user can acquire a property right secured in the blockchain by means of an NFT. If the NFT is linked to a real object, it will be available from a clearly defined date (figure 2) or, in specific cases, it will be sent to the buyer. The exception is non-tradable objects (e.g. heritage works of art), in which case the buyer is considered the donor. If the NFT is linked to a digital object (eg.
video, song, picture, model), ownership is transferred to the buyer at the time of the transaction.- in specially arranged places inside the virtual objective (e.g. the cellar of a castle) NFTs will be made available to users (as virtual visitors) as digital representations of real objects (e.g. souvenirs, wine bottles) that can be purchased digital, as a tokenRO 135950 AOSecured NTF, to then be sent by courier to the buyer or made available to him at a clearly specified location and date.outside the virtual objective, in the immediate vicinity, interaction areas will be defined for users with different themes established according to the objective type, where they can interact and offer for trading NFTs registered in their own name;these areas are to be granted by the rightful owner of the monument and will be subject to the rules defined by the platform in direct collaboration with the rightful owner of the objective for each individual area (form of presentation, additional data, colors, taxes, etc.);each user transaction will be charged based on the information in the blockchain, and the fees will be used to finance the optimal operation of the platform, to develop and update the BIMtwin model, and to cover part of the costs required to maintain the real goal.
&lt;DESSCEC&gt;
&lt;PTXT&gt;
RO 135950 AO
&lt;PTXT&gt;
STATE OFFICE FOR INWIp! Șl MARCI Invention patent application
&lt;PTXT&gt;
Deposit date ...i.......LL·®.!.®....
&lt;PTXT&gt;
Method for virtual space integration of ambient objectives and securing database updated in real time
&lt;PTXT&gt;
The invention refers to the transposition of complex real elements (three-dimensional, 3D) of construction type, open space with topological details and/or indoor ambient space, into a virtual model, its processing and transformation into a block of information in a database data that will be accessible in a dedicated virtual space, with the possibility of real-time access and interaction of users with the secure database using blockchain technology.
In addition to user interaction with the database, the virtual space will allow direct and secure interaction between users.
&lt;PTXT&gt;
The terms used in this field, with reference to "virtual space", are:
&lt;PTXT&gt;
i) metaverse = transposition of reality into a three-dimensional (3D) virtual model, [1], ii) BIM = 3D model + information, [2], iii) BIMverse = proposed "working" name of blockchain-based digital platform which will integrate several digital models with real correspondent to create a virtual interaction environment for users (new term), iv) blockchain = technology used to store and transmit information without a control body, [3],
&lt;PTXT&gt;
v) non-fungible token (NFT) = unit of information associated with an asset (real or digital) stored in the blockchain, which can be traded [4],
&lt;PTXT&gt;
The current approach in designing and/or digitizing buildings is based on models developed using specific programs. These programs have the advantage of using regular 3D geometric shapes (eg parallelepipeds) defined by a small number of elementary surfaces.
in contrast, the gaming industry uses a different approach, which is based on the digital transposition of the geometric details of the real object using the discretization principle specific to finite element analysis that approximates surfaces, however complex, with a multitude of simple elementary surfaces (eg: triangles ).
This approach allows great flexibility in the digital transposition of complex geometric shapes (e.g.: landscape and ambient details, rocks, forests, etc.), but has the great disadvantage of consuming a lot of resources for the calculation of shadows, light reflections, etc. . Moreover, with the development of real-time interaction platforms (generally hosted on central servers and accessed by many clients), each user continuously requests data packets from the server
&lt;PTXT&gt;
RO 135950 AO
&lt;PTXT&gt;
necessary for the formation of the image in real time. Considering a number of clients of the order of tens of thousands interacting in real time, digitization by using discretization (automatically created triangles based on point clouds) to define buildings leads to the processing of an enormous amount of information and can create major problems related to the transfer of data (exceeding the processing capacity of the computer equipment).
&lt;PTXT&gt;
In the last decade, the use of digital models as a representation of engineering structures and buildings (eg bridges with large spans, real estates of historical, administrative, cultural or economic importance) has experienced a sharp increase. For existing objectives (eg castles, arenas, temples) the process of digitization and development of the three-dimensional (3D) model to allow the centralization of information (the so-called digital twin) is complex, time-consuming and generally expensive.
Moreover, the advantages of using these very specific models often require the support and collaboration of specialists from several disciplines (e.g. Architecture, Engineering, History).
&lt;PTXT&gt;
The proposed method uses the model developed by specialists for two distinct purposes: engineering/architecture and digital platform for real-time interactions - BIMverse.
This approach can considerably reduce the financial effort of developing the model for engineering/architecture by financing a large part of the expenses by capitalizing on the results of digitization - within digital platforms and bringing to the public's attention, for marketing purposes and even direct monetization, a historical monument , tourist attraction or real estate.
&lt;PTXT&gt;
Digital platforms for real-time user interactions (the so-called metaverse), allow users to easily exchange information and even make secure transactions with very short processing times using blockchain technology. The main purpose of these transactions in the implementation of the BIMverse platform is the exchange of non-fungible tokens (NFT) secured in the blockchain. within the platform, the tokens will have the following uses:
&lt;PTXT&gt;
i) securing and guaranteeing ownership of digital representations of real objects (e.g. real estate, art objects, souvenirs, books, views, electronics, cars, clothing, footwear, sporting goods, alcoholic beverages, non-perishable food, etc.). For this case, two possible approaches are identified, as follows:
&lt;PTXT&gt;
• the real objects represented by NFTs are to be stored until a later date, established by the seller and agreed by the buyer, until which he can take possession of the traded good (either by picking it up from the storage place, or by sending it by courier against shipping charges)
&lt;PTXT&gt;
RO 135950 AO • property title guaranteed by NFT and secured in blockchain refers to objects/objectives that cannot be traded (e.g. buildings or heritage art). In this situation, the buyer contributes directly to the preservation of the real object and is considered a "patron of the arts", becoming the owner of a digital, authenticated copy of the real object.
&lt;PTXT&gt;
ii) securing and guaranteeing the ownership of artistic products in digital format (e.g. music, photos, drawings, sketches, paintings, videos, etc.) developed by platform users.
&lt;PTXT&gt;
Within the BIMverse platform, users will be given the opportunity to secure the digital representations of real objects that they actually own as property or of digital creations of which they are the legal authors by guaranteeing the right of ownership using blockchain technology.
The platform will facilitate the transfer of ownership using secure transactions in the same blockchain that guarantees ownership and secures the non-fungible token.
&lt;PTXT&gt;
In the internet network (www, world wide web), there are available a series of interactive virtual platforms (metaverse) whose operation is based on the use of search engines, computing units and interconnected databases, blockchain, which allow access and interaction --------in real time and selectively of users on data of interest to them:----------------------------- ------------------
&lt;PTXT&gt;
a) Sandbox, httns://www.sandbox.game/en/, is a virtual metaverse where users can interact, build, own and monetize virtual experiences [5],
&lt;PTXT&gt;
b) Decentraland, https://play.decentraland.org, is a virtual world where users can buy lots of digital space in the form of NFTs using blockchain technology [6],
&lt;PTXT&gt;
c) Earth2, https://earth2.io/, is a digital platform that offers users the opportunity to trade digital space. The space available to users is a representation of the world map divided into a grid of 10 x 10 m, [7],
&lt;PTXT&gt;
d) Superworld, https://www.superworldapp.com/, is a digital platform that allows users to trade approximately 64 billion lots of digital land [8].
&lt;PTXT&gt;
The main identified disadvantages of these virtual platforms are:
&lt;PTXT&gt;
- for a) and b) massive structural elements, such as buildings or land, are fictitious (created only digitally within the platform, again a direct link with reality), user avatars are fictitious characters, with limited details,
&lt;PTXT&gt;
- for c) and d), the description of the traded good is limited to 2D information (photographs from various angles), users can only buy digital land lots associated with real land,
&lt;PTXT&gt;
RO 135950 AO does not provide users with the ability to interact with the virtual model and does not provide users with the ability to create metaverse information.
&lt;PTXT&gt;
Blockchain, [3], is a distributed database that is shared between the nodes of a computer network. It is actually the technology that secures the storage of cryptocurrencies, the transactions between cryptocurrencies and the computer relationships that support the purpose of every cryptographic project. Blockchain stores information electronically in digital format.
Blockchains are secure by design and are an example of a distributed computing system with high Byzantine tolerance (tolerance of attackers or non-cooperative computers). The idea behind blockchain technology has been described as far back as 1991, when researchers Stuart Haber and W. Scott Stometta introduced a cryptographic computing system for marking digital documents so that they cannot be updated or altered.
The first blockchain was conceptualized in 2008 by an anonymous person who identified himself as Satoshi Nakamoto.
&lt;PTXT&gt;
A non-fungible token or NFT (after the English term "non-fungible token"), [4] is a unique unit of data in a computer ledger called blockchain. Non-fungible tokens are associated with files of various formats: photos, audio recordings, videos, etc.
Although the files themselves can be copied, the non-fungible tokens that correspond to them are permanently recorded and monitored in the blockchain ledgers they are part of, giving buyers proof of ownership. Non-fungible tokens can be used to trade digital creations such as digital art, video game items, and music.
However, both the file containing the original creation and any copy of it can be accessed by anyone, not just the owner of the token.
&lt;PTXT&gt;
According to Harrity Analytics [9] the total number of patents (active and pending) that are related to the topic of blockchain exceeds 56700, of which more than 13000 are active patents. Among them, the following are worth mentioning:
&lt;PTXT&gt;
</t>
  </si>
  <si>
    <t>1.
Method for the integration of environmental objectives in virtual space and the securing of the database updated in real time, characterized by the fact that it considers the establishment of a dual database, accessible to interested users, with the possibility of controlling access to the information contained and user interaction,
managed in a way that allows improving the content of the database and its quality, but also the exploitation of the information contained or transited after a procedure carried out in the following stages:- transposing the valuable characteristics of an objective into digital format by: scanning (photogrammetry, laser scanning, LIDAR; for construction, open space with topological details or indoor ambient space, physical objects), video recording and/or audio recording (for goods under copyright protection);- establishing the purpose of bidding for the BIMTwin engineering model of the objective in accordance with the needs of the rightful owner of the actual objective (e.g. tracking the objective over time, organizing information related to structural/architectural interventions on the objective, organizing spaces for exhibitions, events, etc.) ;- for two- or three-dimensional physical objectives, the model is reconstructed in digital, virtual 3D format. It will be transformed into the BIMTwin (DigitalTwin) engineering model by identifying and eliminating nonconformities with reality as well as all information that is not important for the user;- additional information is prepared in the form of text and/or links to external documents, with two- or three-dimensional details (photos, sketches, virtual 3D details) or even instructions for use, guarantees, drawn up in accordance with the purpose of the offer and the profile of the target user ;- after creating and uploading the model to the database with limited access, the BIMTwin model is secured using blockchain to ensure data integrity and limit uncontrolled interventions on the model;- for posting in the virtual space, the MetaTwin model is prepared by reducing the information contained in the BIMTwin model (e.g.: in the case of a virtual tour to promote a tourist objective, installations, fittings, etc. are not of interest) and adding additional information related to the objects of art, history, etc.;RO 135950 AO- MetaTwin models with open architecture (possibility of intervention for changes and control by the legal owner) are loaded into a database accessible online, BIMverse platform. Architectural interventions are limited to clearly defined areas and are subject to the approval of the right holder of the real objective;- the MetaTwin model is completed as a digital representation of the real object and secured in the blockchain to limit unauthorized interventions and preserve data integrity;- the lens, or some parts of the lens, interior and/or exterior components, can be assigned NFTs to be used to guarantee ownership.
The model -used in the method according to the invention- can be: i) the digital representation^ of a real object, figure 2 (as in the case of current trading platforms), ii) the digital form of an asset that cannot be the object of a physical transfer of ownership (e.g. .: works of art, artistic products under copyright protection, sa,) or iii) a completely new element created by users (eg a song, a photo, a sketch, a 3D model, etc.);- for tourist attractions, all art objects (paintings, statues, furniture, etc.) inside will be scanned/photographed separately and will be secured in the blockchain, being assigned NFTs;- users can connect through portals that will ensure the digitization of the user through an avatar (with different levels of detail/complexity), depending according to the preferences declared at registration, they can interact audio and video and have the possibility of organizing in "virtual rooms", for the exchange of opinions, discussions and transactions in private;- the user can acquire a property right secured in the blockchain by means of an NFT. If the NFT is linked to a real object, it will be available from a clearly defined date (figure 2) or, in specific cases, it will be sent to the buyer. The exception is non-tradable objects (e.g. heritage works of art), in which case the buyer is considered the donor. If the NFT is linked to a digital object (eg.
video, song, picture, model), ownership is transferred to the buyer at the time of the transaction.- in specially arranged places inside the virtual objective (e.g. the cellar of a castle) NFTs will be made available to users (as virtual visitors) as digital representations of real objects (e.g. souvenirs, wine bottles) that can be purchased digital, as a tokenRO 135950 AOSecured NTF, to then be sent by courier to the buyer or made available to him at a clearly specified location and date.outside the virtual objective, in the immediate vicinity, interaction areas will be defined for users with different themes established according to the objective type, where they can interact and offer for trading NFTs registered in their own name;these areas are to be granted by the rightful owner of the monument and will be subject to the rules defined by the platform in direct collaboration with the rightful owner of the objective for each individual area (form of presentation, additional data, colors, taxes, etc.);each user transaction will be charged based on the information in the blockchain, and the fees will be used to finance the optimal operation of the platform, to develop and update the BIMtwin model, and to cover part of the costs required to maintain the real goal.
&lt;DESSCEC&gt;
&lt;PTXT&gt;
RO 135950 AO
&lt;PTXT&gt;
STATE OFFICE FOR INWIp! Șl MARCI Invention patent application
&lt;PTXT&gt;
Deposit date ...i.......LL·®.!.®....
&lt;PTXT&gt;
Method for virtual space integration of ambient objectives and securing database updated in real time
&lt;PTXT&gt;
The invention refers to the transposition of complex real elements (three-dimensional, 3D) of construction type, open space with topological details and/or indoor ambient space, into a virtual model, its processing and transformation into a block of information in a database data that will be accessible in a dedicated virtual space, with the possibility of real-time access and interaction of users with the secure database using blockchain technology.
In addition to user interaction with the database, the virtual space will allow direct and secure interaction between users.
&lt;PTXT&gt;
The terms used in this field, with reference to "virtual space", are:
&lt;PTXT&gt;
i) metaverse = transposition of reality into a three-dimensional (3D) virtual model, [1], ii) BIM = 3D model + information, [2], iii) BIMverse = proposed "working" name of blockchain-based digital platform which will integrate several digital models with real correspondent to create a virtual interaction environment for users (new term), iv) blockchain = technology used to store and transmit information without a control body, [3],
&lt;PTXT&gt;
v) non-fungible token (NFT) = unit of information associated with an asset (real or digital) stored in the blockchain, which can be traded [4],
&lt;PTXT&gt;
The current approach in designing and/or digitizing buildings is based on models developed using specific programs. These programs have the advantage of using regular 3D geometric shapes (eg parallelepipeds) defined by a small number of elementary surfaces.
in contrast, the gaming industry uses a different approach, which is based on the digital transposition of the geometric details of the real object using the discretization principle specific to finite element analysis that approximates surfaces, however complex, with a multitude of simple elementary surfaces (eg: triangles ).
This approach allows great flexibility in the digital transposition of complex geometric shapes (e.g.: landscape and ambient details, rocks, forests, etc.), but has the great disadvantage of consuming a lot of resources for the calculation of shadows, light reflections, etc. . Moreover, with the development of real-time interaction platforms (generally hosted on central servers and accessed by many clients), each user continuously requests data packets from the server
&lt;PTXT&gt;
RO 135950 AO
&lt;PTXT&gt;
necessary for the formation of the image in real time. Considering a number of clients of the order of tens of thousands interacting in real time, digitization by using discretization (automatically created triangles based on point clouds) to define buildings leads to the processing of an enormous amount of information and can create major problems related to the transfer of data (exceeding the processing capacity of the computer equipment).
&lt;PTXT&gt;
In the last decade, the use of digital models as a representation of engineering structures and buildings (eg bridges with large spans, real estates of historical, administrative, cultural or economic importance) has experienced a sharp increase. For existing objectives (eg castles, arenas, temples) the process of digitization and development of the three-dimensional (3D) model to allow the centralization of information (the so-called digital twin) is complex, time-consuming and generally expensive.
Moreover, the advantages of using these very specific models often require the support and collaboration of specialists from several disciplines (e.g. Architecture, Engineering, History).
&lt;PTXT&gt;
The proposed method uses the model developed by specialists for two distinct purposes: engineering/architecture and digital platform for real-time interactions - BIMverse.
This approach can considerably reduce the financial effort of developing the model for engineering/architecture by financing a large part of the expenses by capitalizing on the results of digitization - within digital platforms and bringing to the public's attention, for marketing purposes and even direct monetization, a historical monument , tourist attraction or real estate.
&lt;PTXT&gt;
Digital platforms for real-time user interactions (the so-called metaverse), allow users to easily exchange information and even make secure transactions with very short processing times using blockchain technology. The main purpose of these transactions in the implementation of the BIMverse platform is the exchange of non-fungible tokens (NFT) secured in the blockchain. within the platform, the tokens will have the following uses:
&lt;PTXT&gt;
i) securing and guaranteeing ownership of digital representations of real objects (e.g. real estate, art objects, souvenirs, books, views, electronics, cars, clothing, footwear, sporting goods, alcoholic beverages, non-perishable food, etc.). For this case, two possible approaches are identified, as follows:
&lt;PTXT&gt;
• the real objects represented by NFTs are to be stored until a later date, established by the seller and agreed by the buyer, until which he can take possession of the traded good (either by picking it up from the storage place, or by sending it by courier against shipping charges)
&lt;PTXT&gt;
RO 135950 AO • property title guaranteed by NFT and secured in blockchain refers to objects/objectives that cannot be traded (e.g. buildings or heritage art). In this situation, the buyer contributes directly to the preservation of the real object and is considered a "patron of the arts", becoming the owner of a digital, authenticated copy of the real object.
&lt;PTXT&gt;
ii) securing and guaranteeing the ownership of artistic products in digital format (e.g. music, photos, drawings, sketches, paintings, videos, etc.) developed by platform users.
&lt;PTXT&gt;
Within the BIMverse platform, users will be given the opportunity to secure the digital representations of real objects that they actually own as property or of digital creations of which they are the legal authors by guaranteeing the right of ownership using blockchain technology.
The platform will facilitate the transfer of ownership using secure transactions in the same blockchain that guarantees ownership and secures the non-fungible token.
&lt;PTXT&gt;
In the internet network (www, world wide web), there are available a series of interactive virtual platforms (metaverse) whose operation is based on the use of search engines, computing units and interconnected databases, blockchain, which allow access and interaction --------in real time and selectively of users on data of interest to them:----------------------------- ------------------
&lt;PTXT&gt;
a) Sandbox, httns://www.sandbox.game/en/, is a virtual metaverse where users can interact, build, own and monetize virtual experiences [5],
&lt;PTXT&gt;
b) Decentraland, https://play.decentraland.org, is a virtual world where users can buy lots of digital space in the form of NFTs using blockchain technology [6],
&lt;PTXT&gt;
c) Earth2, https://earth2.io/, is a digital platform that offers users the opportunity to trade digital space. The space available to users is a representation of the world map divided into a grid of 10 x 10 m, [7],
&lt;PTXT&gt;
d) Superworld, https://www.superworldapp.com/, is a digital platform that allows users to trade approximately 64 billion lots of digital land [8].
&lt;PTXT&gt;
The main identified disadvantages of these virtual platforms are:
&lt;PTXT&gt;
- for a) and b) massive structural elements, such as buildings or land, are fictitious (created only digitally within the platform, again a direct link with reality), user avatars are fictitious characters, with limited details,
&lt;PTXT&gt;
- for c) and d), the description of the traded good is limited to 2D information (photographs from various angles), users can only buy digital land lots associated with real land,
&lt;PTXT&gt;
RO 135950 AO does not provide users with the ability to interact with the virtual model and does not provide users with the ability to create metaverse information.
&lt;PTXT&gt;
Blockchain, [3], is a distributed database that is shared between the nodes of a computer network. It is actually the technology that secures the storage of cryptocurrencies, the transactions between cryptocurrencies and the computer relationships that support the purpose of every cryptographic project. Blockchain stores information electronically in digital format.
Blockchains are secure by design and are an example of a distributed computing system with high Byzantine tolerance (tolerance of attackers or non-cooperative computers). The idea behind blockchain technology has been described as far back as 1991, when researchers Stuart Haber and W. Scott Stometta introduced a cryptographic computing system for marking digital documents so that they cannot be updated or altered.
The first blockchain was conceptualized in 2008 by an anonymous person who identified himself as Satoshi Nakamoto.
&lt;PTXT&gt;
A non-fungible token or NFT (after the English term "non-fungible token"), [4] is a unique unit of data in a computer ledger called blockchain. Non-fungible tokens are associated with files of various formats: photos, audio recordings, videos, etc.
Although the files themselves can be copied, the non-fungible tokens that correspond to them are permanently recorded and monitored in the blockchain ledgers they are part of, giving buyers proof of ownership. Non-fungible tokens can be used to trade digital creations such as digital art, video game items, and music.
However, both the file containing the original creation and any copy of it can be accessed by anyone, not just the owner of the token.
&lt;PTXT&gt;
According to Harrity Analytics [9] the total number of patents (active and pending) that are related to the topic of blockchain exceeds 56700, of which more than 13000 are active patents. Among them, the following are worth mentioning:
&lt;PTXT&gt;
1.
Data processing methods and systems from BIM - Construction Information Modelling, patent EP2851818A3 [10]
&lt;PTXT&gt;
A method for operating a building information modeling (BIM) system is presented.
The method includes at a BIM server receiving a data modification request from a client computing device to modify data in a building model, a hierarchical building model data structure, and a spreadsheet for exchanging building information (COBie), the building, the model, the hierarchical structure of the building model data and the COBie spreadsheet displayed simultaneously in a GUI generated by the BIM server,
automatically determining the validity of the data in the request for
&lt;PTXT&gt;
RO 135950 AO modifying the data and, if the data is determined to be valid, allowing the request to modify the data based on the predetermined permissions of the client computing device.
&lt;PTXT&gt;
2.
Method and System for Converting Digital Assets in a Gaming Platform, Patent US20190299105, [11], The patent discloses a system and method for converting between in-game digital assets and cryptocurrency tokens on a distributed ledger. Transaction messages are created and digitally signed by users and broadcast to be incorporated into the distributed ledger. Assets can be fungible or non-fungible tokens implemented as smart contracts on a blockchain.
Assets can represent avatars, game currency, tools earned in a game. Certain goods can be transferred from one game to another through the registry.
&lt;PTXT&gt;
3.
System and Method for Providing Cryptographically Secured Digital Assets, Patent US10505726B1, [12].
&lt;PTXT&gt;
The patent discloses cryptographic digital assets for footwear, methods of manufacturing/using such cryptographic digital assets, and decentralized computing systems with blockchain control logic for mining, mixing, and exchanging
&lt;PTXT&gt;
----blockchain enabled digital shoes. A -method of generating cryptographic digital--------- footwear assets includes a server that receives, within a distributed computing network from a computing node, confirmation of a validated transfer of footwear from one party to another . The server determines, from an encrypted relational database, a unique identification code for the owner of the assigned part and generates a cryptographic digital asset for the footwear.
This cryptographic digital asset includes a digital shoe and a unique digital shoe identification code. The server connects the cryptographic digital asset with the unique owner identification code and records the shoe's unique digital identification code and the unique owner identification code on a transaction block with a distributed blockchain ledger.
&lt;PTXT&gt;
4.
Platform for creating and using actionable NFTs, patent US20200242105A1, [13].
&lt;PTXT&gt;
The patent proposes a distributed computing platform and method for creating actionable digital assets and non-fungible tokens that can be used for influence and mobilization, called KNFT. A KNFT application server can be configured to receive, within the network, a request for a new non-fungible token from a compute node. A KNFT comprises a unique KNFT identifier consisting of at least one element
&lt;PTXT&gt;
RO 135950 AO
&lt;PTXT&gt;
of metadata and at least one social vector. A blockchain proxy server may be operatively connected to the KNFT application server and a distributed blockchain ledger. Social actions may include user comments, interactions, direct messages, or reactions. A property change of a KNFT can be written to the social vector by the KNFT API.
The social vector may comprise social vector data from at least one previous owner, and the KNFT may further comprise a traffic path vector incorporating the ownership history of the KNFT.
&lt;PTXT&gt;
From processing data from building information modeling (pt. 1), to converting digital assets into games (pt. 2) and providing secure digital assets (pt. 3) or generating and using actionable NFTs (pt. 4) each solution from those presented previously deals with a part of the method presented in this document.
&lt;PTXT&gt;
None of these solutions address the following issues:
&lt;PTXT&gt;
• expanding the use of the BIM model for real-time interaction platforms;
&lt;PTXT&gt;
• using a digital replica of a real lens for digital sessions;
&lt;PTXT&gt;
• creating digital galleries where users can interact with each other and with the model;
&lt;PTXT&gt;
• trading (selling/buying) digital replicas, authenticated using blockchain technology, of art objects heritage buildings or parts thereof -----------(objects/objectives that cannot be legally traded in the form physics). --------------------All these points are directly addressed by the method and system presented in this document.
&lt;PTXT&gt;
The technical problem of the invention consists in the development of a method by which virtual models of complex real elements of construction type or ambient space (interior or exterior) together with art objects are transposed (digitized) into a dedicated integrated virtual space (BIMverse) with the possibility of:
&lt;PTXT&gt;
- secure access (blockchain) to the information in the database,
&lt;PTXT&gt;
- real-time interaction of (internet) users, who can use the information they have access to or even contribute (in a controlled manner, for quality reasons) to its development;
&lt;PTXT&gt;
- obtaining additional information, to inspect details of the accessed virtual 3D model,
&lt;PTXT&gt;
- to request and secure in the blockchain property titles for real or virtual elements,
&lt;PTXT&gt;
- to trade secured property titles through NFTs.
&lt;PTXT&gt;
RO 135950 AO
&lt;PTXT&gt;
The method for integrating the environmental objectives in virtual space and securing the database updated in real time according to the invention removes the disadvantages of the solutions presented above as known in that:
&lt;PTXT&gt;
- for the preparation of the database, specialists in various fields are involved (engineering, architecture, landscaping, environment, history, ..., including marketing and psychology) which leads to a high level of quality and accuracy of the information provided,
&lt;PTXT&gt;
- accessing the database is done under security conditions, to ensure the integrity and quality of the information provided and to protect the users' private information,
&lt;PTXT&gt;
- gives the user more options for using and even updating the information in the database, and he can contribute to improving its quality.
&lt;PTXT&gt;
The method for integrating the environmental objectives in virtual space and securing the database updated in real time according to the invention presents the following advantages:
&lt;PTXT&gt;
- virtual models of complex real elements such as constructions or ambient space (interior or exterior), decorative and art objects, historical relics, are transposed into a dynamic, secure database, in a dedicated virtual space, with the possibility to be used online including for games or transactions;
&lt;PTXT&gt;
------------- allows users to interact in real time, with each other and with the database;--
&lt;PTXT&gt;
- allows the user access to additional information regarding details that are of interest to him;
&lt;PTXT&gt;
- allows the creation of additional information that can be added to the existing information, thus contributing to the improvement of the quality of the content of the database;
&lt;PTXT&gt;
- allows securing and online transfer of property titles for the real equivalent of a 3D model (metaverse);
&lt;PTXT&gt;
- provides the ability to create secure NFT digital collections of non-tradable real-world art objects (eg Gioconda painting, David statue, sa) in the form of digital copies authorized by the rightful owner of the art object.
&lt;PTXT&gt;
- significantly reducing data traffic between the server and clients, allowing a significantly larger number of users to interact in real time.
&lt;PTXT&gt;
An embodiment of the invention is given below in relation to:
&lt;PTXT&gt;
- figure 1, which represents the implementation method and the resources involved;
&lt;PTXT&gt;
- figure 2, which represents the NTF concept for trading a real or virtual asset.
&lt;PTXT&gt;
RO 135950 AO
&lt;PTXT&gt;
The support system for the application of the method for the integration of environmental objectives in virtual space and securing the database updated in real time is composed of (figure 1):
&lt;PTXT&gt;
- 3D scanning and/or recording devices (1), computer equipment (3), including 3D modeling programs specific to construction and architecture [14], graphics engines for game development, [15],
&lt;PTXT&gt;
- server network with internet connection to ensure the necessary traffic, for access to databases and for security (5),
&lt;PTXT&gt;
- blockchain technology for security [16], (8).
&lt;PTXT&gt;
The method proposed according to the invention has in mind the establishment of a dual database, where the control of access to the information contained in it and the interaction of users, the improvement of the content of the database and its quality, but also the exploitation of the information contained or transited through the management of information and system resources support used to apply the method after a procedure carried out in the following steps:
&lt;PTXT&gt;
- transposing the valuable characteristics of an objective into digital format by: scanning (photogrammetry, laser scanning, LIDAR; for construction, open space with topological details, or indoor ambient space, physical objects), video recording and/or audio recording (for goods under copyright protection).
&lt;PTXT&gt;
- establishing the purpose of bidding for the BIMTwin engineering model of the objective in accordance with the requirements of the rightful owner of the actual objective (e.g. time tracking of the objective, organization of information related to structural/architectural interventions on the objective, location and mode of access to exhibition spaces, events, etc.);
&lt;PTXT&gt;
- for two- or three-dimensional physical objectives, the reconstruction of the model in digital, virtual 3D format. It will be transformed into the BIMTwin (DigitalTwin) engineering model by identifying and eliminating nonconformities with reality as well as all information that is not important for the user;
&lt;PTXT&gt;
- additional information is prepared in the form of text and/or links to external documents, with two- or three-dimensional details (photos, sketches, virtual 3D details) or even instructions for use, guarantees, drawn up in accordance with the purpose of the offer and the profile of the target user ;
&lt;PTXT&gt;
- after creating and uploading the model to the database with limited access, the BIMTwin model is secured using blockchain to ensure data integrity and limit uncontrolled interventions on the model;
&lt;PTXT&gt;
RO 135950 AO
&lt;PTXT&gt;
- for posting in the virtual space, the MetaTwin model is prepared by reducing the information contained in the BIMTwin model (e.g.: in the case of a virtual tour to promote a tourist objective, installations, fittings, etc. are not of interest) and adding additional information related to the objects of art, history, sa;
&lt;PTXT&gt;
- the MetaTwin models with open architecture (possibility of intervention for changes and control by the legal owner) are loaded into a database accessible online, BIMverse platform. Architectural interventions are limited to clearly defined areas and are subject to the approval of the owner of the actual objective.
The MetaTwin model is created as a digital representation of the real object and secured in the blockchain to limit unauthorized interventions and preserve data integrity;
&lt;PTXT&gt;
In the case of a real estate objective within the BIMTwin model, it is thus possible to develop the digital model by periodically adding information (up-grade), centralizing structural and architectural information, as well as tracking the evolution over time of some key parameters for the real structure (e.g. deformations , humidity).
&lt;PTXT&gt;
The MetaTwin model will be a digital replica of the actual lens representing the lens and its details at the date of digitization. For a representation as close as possible to reality, all the essential details of the original objective will be replicated: the original shape and structure, the original colors (walls, ceilings, roof, etc.), interior details, carpets and/or frescoes (if applicable ) which will be represented as high resolution pictures.
&lt;PTXT&gt;
For tourist attractions, all art objects (paintings, statues, furniture, etc.) inside will be scanned / photographed separately and secured in the blockchain with NFTs assigned to them.
&lt;PTXT&gt;
- the MetaTwin model is created as a digital representation of the real object and secured in the blockchain to limit unauthorized interventions and preserve data integrity. In the next step, the target is assigned an NFT that will be used to provide buyers with proof of ownership.
The model used in the method according to the invention can be: i) the digital representation of a real object, figure 2 (as in the case of current trading platforms), ii) the digital form of an asset that cannot be the object of a physical transfer of ownership (e.g. : works of art, artistic products under copyright protection, sa,) or iii) a completely new element created by users (eg a song, a photo, a sketch, a 3D model, etc.);
&lt;PTXT&gt;
- users can connect through portals that will ensure the digitization of the user, through an avatar (with different levels of detail/complexity), depending on the preferences declared during registration;
&lt;PTXT&gt;
- within the BIMverse platform, users will be able to communicate audio in real time, using the means of digital communication (headset, microphone). Visually, two options will be available, namely: i) virtual reality (using appropriate equipment) and ii) simple digital environment (using the interface posted on the computer screen) to render the environment.
in addition, users have the possibility of organizing and accessing "virtual rooms", for the exchange of opinions, discussions and transactions in private;
&lt;PTXT&gt;
—the user—can acquire a—property secured in the blockchain—through-------------by means of an NFT, and at a later, clearly defined date, the traded good is sent to the buyer: as the real object , figure 2, or the digital representation of an asset that cannot be the object of a physical transfer of ownership (e.g.:
works of art, artistic products under copyright protection, sa,), in the form of a digital copy (2D or 3D) whose trading will be done with a certificate of authenticity and authorization from the rightful owner. This creates the possibility of creating digital collections, customized for the user's field of interest;
&lt;PTXT&gt;
- in specially arranged places inside the virtual objective (e.g. the cellar of a castle) NFTs will be made available to users (as virtual visitors) as digital representations of real objects (e.g. souvenirs, wine bottles) that can be purchased digitally, as a secure totem, to then be sent by courier to the buyer;
&lt;PTXT&gt;
- outside the virtual objective, in the immediate vicinity, interaction areas will be defined with different themes established according to the objective type and the interest shown by users, where they can access or purchase NFTs, interact and offer NFTs for trading -s registered in own name;
&lt;PTXT&gt;
- these areas are to be concessioned by the rightful owner of the real objective and will be subject to the rules defined by the platform in direct collaboration with the owner, for each individual area (form of presentation, additional data, colors, taxes, etc.);
&lt;PTXT&gt;
- each user transaction will be charged based on the information in the blockchain, and the charges will be used to finance the optimal operation of the platform, to develop and update the BIMtwin model, and to cover part of the costs required to maintain the real objective.
&lt;PTXT&gt;
For the first step of the method, the physical characteristics of a real target (I), figure 1, are scanned using one or more of the currently available 3D scanning methods (1) (photogrammetry, LIDAR, laser) and are translated into -a point cloud (2) to be used as the basis for creating the 3D digital model (II).
The digitization and 3D modeling process (3) involves specific 3D modeling workstations and progr *** truncated to 32500 characters ***</t>
  </si>
  <si>
    <t>A0</t>
  </si>
  <si>
    <t>Crian, Nicolae Andrei</t>
  </si>
  <si>
    <t>RO</t>
  </si>
  <si>
    <t>G06F00301000 | G06Q02012000 | H04L00900000</t>
  </si>
  <si>
    <t>RO135950A0</t>
  </si>
  <si>
    <t>$7861</t>
  </si>
  <si>
    <t>RO135950 A</t>
  </si>
  <si>
    <t>I-000229313342</t>
  </si>
  <si>
    <t>https://patentscout.innography.com/share/Z-g02cwvffu1pU-Z1NgX_Q%3D%3D</t>
  </si>
  <si>
    <t>https://patentscout.innography.com/share/Z-g02cwvffu1pU-Z1NgX_Q%3D%3D/download</t>
  </si>
  <si>
    <t>https://v3.espacenet.com/publicationDetails/biblio?CC=RO&amp;NR=135950A0&amp;KC=A0&amp;FT=D&amp;date=20220830&amp;DB=EPODOC&amp;locale=</t>
  </si>
  <si>
    <t>RO00135950 A0</t>
  </si>
  <si>
    <t>RO Applications</t>
  </si>
  <si>
    <t>1.  RO 135950 AOCLAIM1. 
Method for the integration of environmental objectives in virtual space and the securing of the database updated in real time, characterized by the fact that it considers the establishment of a dual database, accessible to interested users, with the possibility of controlling access to the information contained and user interaction,
managed in a way that allows improving the content of the database and its quality, but also the exploitation of the information contained or transited after a procedure carried out in the following stages:- transposing the valuable characteristics of an objective into digital format by: scanning (photogrammetry, laser scanning, LIDAR; for construction, open space with topological details or indoor ambient space, physical objects), video recording and/or audio recording (for goods under copyright protection);- establishing the purpose of bidding for the BIMTwin engineering model of the objective in accordance with the needs of the rightful owner of the actual objective (e.g. tracking the objective over time, organizing information related to structural/architectural interventions on the objective, organizing spaces for exhibitions, events, etc.) ;- for two- or three-dimensional physical objectives, the model is reconstructed in digital, virtual 3D format. It will be transformed into the BIMTwin (DigitalTwin) engineering model by identifying and eliminating nonconformities with reality as well as all information that is not important for the user;- additional information is prepared in the form of text and/or links to external documents, with two- or three-dimensional details (photos, sketches, virtual 3D details) or even instructions for use, guarantees, drawn up in accordance with the purpose of the offer and the profile of the target user ;- after creating and uploading the model to the database with limited access, the BIMTwin model is secured using blockchain to ensure data integrity and limit uncontrolled interventions on the model;- for posting in the virtual space, the MetaTwin model is prepared by reducing the information contained in the BIMTwin model (e.g.: in the case of a virtual tour to promote a tourist objective, installations, fittings, etc. are not of interest) and adding additional information related to the objects of art, history, etc.;RO 135950 AO- MetaTwin models with open architecture (possibility of intervention for changes and control by the legal owner) are loaded into a database accessible online, BIMverse platform. Architectural interventions are limited to clearly defined areas and are subject to the approval of the right holder of the real objective;- the MetaTwin model is completed as a digital representation of the real object and secured in the blockchain to limit unauthorized interventions and preserve data integrity;- the lens, or some parts of the lens, interior and/or exterior components, can be assigned NFTs to be used to guarantee ownership.
The model -used in the method according to the invention- can be: i) the digital representation^ of a real object, figure 2  (as in the case of current trading platforms), ii) the digital form of an asset that cannot be the object of a physical transfer of ownership (e.g. .: works of art, artistic products under copyright protection, sa,) or iii) a completely new element created by users (eg a song, a photo, a sketch, a 3D model, etc.);- for tourist attractions, all art objects (paintings, statues, furniture, etc.) inside will be scanned/photographed separately and will be secured in the blockchain, being assigned NFTs;- users can connect through portals that will ensure the digitization of the user through an avatar (with different levels of detail/complexity), depending according to the preferences declared at registration, they can interact audio and video and have the possibility of organizing in "virtual rooms", for the exchange of opinions, discussions and transactions in private;- the user can acquire a property right secured in the blockchain by means of an NFT. If the NFT is linked to a real object, it will be available from a clearly defined date (figure 2 ) or, in specific cases, it will be sent to the buyer. The exception is non-tradable objects (e.g. heritage works of art), in which case the buyer is considered the donor. If the NFT is linked to a digital object (eg.
video, song, picture, model), ownership is transferred to the buyer at the time of the transaction.- in specially arranged places inside the virtual objective (e.g. the cellar of a castle) NFTs will be made available to users (as virtual visitors) as digital representations of real objects (e.g. souvenirs, wine bottles) that can be purchased digital, as a tokenRO 135950 AOSecured NTF, to then be sent by courier to the buyer or made available to him at a clearly specified location and date.outside the virtual objective, in the immediate vicinity, interaction areas will be defined for users with different themes established according to the objective type, where they can interact and offer for trading NFTs registered in their own name;these areas are to be granted by the rightful owner of the monument and will be subject to the rules defined by the platform in direct collaboration with the rightful owner of the objective for each individual area (form of presentation, additional data, colors, taxes, etc.);each user transaction will be charged based on the information in the blockchain, and the fees will be used to finance the optimal operation of the platform, to develop and update the BIMtwin model, and to cover part of the costs required to maintain the real goal.
RO 135950 AO
STATE OFFICE FOR INWIp! Șl MARCI Invention patent application
Deposit date ...i.......LL·®.!.®....
Method for virtual space integration of ambient objectives and securing database updated in real time
The invention refers to the transposition of complex real elements (three-dimensional, 3D) of construction type, open space with topological details and/or indoor ambient space, into a virtual model, its processing and transformation into a block of information in a database data that will be accessible in a dedicated virtual space, with the possibility of real-time access and interaction of users with the secure database using blockchain technology.
In addition to user interaction with the database, the virtual space will allow direct and secure interaction between users.
The terms used in this field, with reference to "virtual space", are:
i) metaverse = transposition of reality into a three-dimensional (3D) virtual model, [1 ], ii) BIM = 3D model + information, [2 ], iii) BIMverse = proposed "working" name of blockchain-based digital platform which will integrate several digital models with real correspondent to create a virtual interaction environment for users (new term), iv) blockchain = technology used to store and transmit information without a control body, [3 ],
v) non-fungible token (NFT) = unit of information associated with an asset (real or digital) stored in the blockchain, which can be traded [4 ],
The current approach in designing and/or digitizing buildings is based on models developed using specific programs. These programs have the advantage of using regular 3D geometric shapes (eg parallelepipeds) defined by a small number of elementary surfaces.
in contrast, the gaming industry uses a different approach, which is based on the digital transposition of the geometric details of the real object using the discretization principle specific to finite element analysis that approximates surfaces, however complex, with a multitude of simple elementary surfaces (eg: triangles ).
This approach allows great flexibility in the digital transposition of complex geometric shapes (e.g.: landscape and ambient details, rocks, forests, etc.), but has the great disadvantage of consuming a lot of resources for the calculation of shadows, light reflections, etc. . Moreover, with the development of real-time interaction platforms (generally hosted on central servers and accessed by many clients), each user continuously requests data packets from the server
RO 135950 AO
necessary for the formation of the image in real time. Considering a number of clients of the order of tens of thousands interacting in real time, digitization by using discretization (automatically created triangles based on point clouds) to define buildings leads to the processing of an enormous amount of information and can create major problems related to the transfer of data (exceeding the processing capacity of the computer equipment).
In the last decade, the use of digital models as a representation of engineering structures and buildings (eg bridges with large spans, real estates of historical, administrative, cultural or economic importance) has experienced a sharp increase. For existing objectives (eg castles, arenas, temples) the process of digitization and development of the three-dimensional (3D) model to allow the centralization of information (the so-called digital twin) is complex, time-consuming and generally expensive.
Moreover, the advantages of using these very specific models often require the support and collaboration of specialists from several disciplines (e.g. Architecture, Engineering, History).
The proposed method uses the model developed by specialists for two distinct purposes: engineering/architecture and digital platform for real-time interactions - BIMverse.
This approach can considerably reduce the financial effort of developing the model for engineering/architecture by financing a large part of the expenses by capitalizing on the results of digitization - within digital platforms and bringing to the public's attention, for marketing purposes and even direct monetization, a historical monument , tourist attraction or real estate.
Digital platforms for real-time user interactions (the so-called metaverse), allow users to easily exchange information and even make secure transactions with very short processing times using blockchain technology. The main purpose of these transactions in the implementation of the BIMverse platform is the exchange of non-fungible tokens (NFT) secured in the blockchain. within the platform, the tokens will have the following uses:
i) securing and guaranteeing ownership of digital representations of real objects (e.g. real estate, art objects, souvenirs, books, views, electronics, cars, clothing, footwear, sporting goods, alcoholic beverages, non-perishable food, etc.). For this case, two possible approaches are identified, as follows:
• the real objects represented by NFTs are to be stored until a later date, established by the seller and agreed by the buyer, until which he can take possession of the traded good (either by picking it up from the storage place, or by sending it by courier against shipping charges)
RO 135950 AO • property title guaranteed by NFT and secured in blockchain refers to objects/objectives that cannot be traded (e.g. buildings or heritage art). In this situation, the buyer contributes directly to the preservation of the real object and is considered a "patron of the arts", becoming the owner of a digital, authenticated copy of the real object.
ii) securing and guaranteeing the ownership of artistic products in digital format (e.g. music, photos, drawings, sketches, paintings, videos, etc.) developed by platform users.
Within the BIMverse platform, users will be given the opportunity to secure the digital representations of real objects that they actually own as property or of digital creations of which they are the legal authors by guaranteeing the right of ownership using blockchain technology.
The platform will facilitate the transfer of ownership using secure transactions in the same blockchain that guarantees ownership and secures the non-fungible token.
In the internet network (www, world wide web), there are available a series of interactive virtual platforms (metaverse) whose operation is based on the use of search engines, computing units and interconnected databases, blockchain, which allow access and interaction --------in real time and selectively of users on data of interest to them:----------------------------- ------------------
a) Sandbox, httns://www.sandbox.game/en/, is a virtual metaverse where users can interact, build, own and monetize virtual experiences [5 ],
b) Decentraland, https://play.decentraland.org, is a virtual world where users can buy lots of digital space in the form of NFTs using blockchain technology [6 ],
c) Earth2 , https://earth2. io/, is a digital platform that offers users the opportunity to trade digital space. The space available to users is a representation of the world map divided into a grid of 10 x 10 m, [7 ],
d) Superworld, https://www.superworldapp.com/, is a digital platform that allows users to trade approximately 64 billion lots of digital land [8 ].
The main identified disadvantages of these virtual platforms are:
- for a) and b) massive structural elements, such as buildings or land, are fictitious (created only digitally within the platform, again a direct link with reality), user avatars are fictitious characters, with limited details,
- for c) and d), the description of the traded good is limited to 2D information (photographs from various angles), users can only buy digital land lots associated with real land,
RO 135950 AO does not provide users with the ability to interact with the virtual model and does not provide users with the ability to create metaverse information.
Blockchain, [3 ], is a distributed database that is shared between the nodes of a computer network. It is actually the technology that secures the storage of cryptocurrencies, the transactions between cryptocurrencies and the computer relationships that support the purpose of every cryptographic project. Blockchain stores information electronically in digital format.
Blockchains are secure by design and are an example of a distributed computing system with high Byzantine tolerance (tolerance of attackers or non-cooperative computers). The idea behind blockchain technology has been described as far back as 1991 , when researchers Stuart Haber and W. Scott Stometta introduced a cryptographic computing system for marking digital documents so that they cannot be updated or altered.
The first blockchain was conceptualized in 2008 by an anonymous person who identified himself as Satoshi Nakamoto.
A non-fungible token or NFT (after the English term "non-fungible token"), [4 ] is a unique unit of data in a computer ledger called blockchain. Non-fungible tokens are associated with files of various formats: photos, audio recordings, videos, etc.
Although the files themselves can be copied, the non-fungible tokens that correspond to them are permanently recorded and monitored in the blockchain ledgers they are part of, giving buyers proof of ownership. Non-fungible tokens can be used to trade digital creations such as digital art, video game items, and music.
However, both the file containing the original creation and any copy of it can be accessed by anyone, not just the owner of the token.
According to Harrity Analytics [9 ] the total number of patents (active and pending) that are related to the topic of blockchain exceeds 56700 , of which more than 13000 are active patents. Among them, the following are worth mentioning:
1. 
Data processing methods and systems from BIM - Construction Information Modelling, patent EP2851818A3  [10 ]
A method for operating a building information modeling (BIM) system is presented.
The method includes at a BIM server receiving a data modification request from a client computing device to modify data in a building model, a hierarchical building model data structure, and a spreadsheet for exchanging building information (COBie), the building, the model, the hierarchical structure of the building model data and the COBie spreadsheet displayed simultaneously in a GUI generated by the BIM server,
automatically determining the validity of the data in the request for
RO 135950 AO modifying the data and, if the data is determined to be valid, allowing the request to modify the data based on the predetermined permissions of the client computing device.
2. 
Method and System for Converting Digital Assets in a Gaming Platform, Patent US20190299105 , [11 ], The patent discloses a system and method for converting between in-game digital assets and cryptocurrency tokens on a distributed ledger. Transaction messages are created and digitally signed by users and broadcast to be incorporated into the distributed ledger. Assets can be fungible or non-fungible tokens implemented as smart contracts on a blockchain.
Assets can represent avatars, game currency, tools earned in a game. Certain goods can be transferred from one game to another through the registry.
3. 
System and Method for Providing Cryptographically Secured Digital Assets, Patent US10505726B1 , [12 ].
The patent discloses cryptographic digital assets for footwear, methods of manufacturing/using such cryptographic digital assets, and decentralized computing systems with blockchain control logic for mining, mixing, and exchanging
----blockchain enabled digital shoes. A -method of generating cryptographic digital--------- footwear assets includes a server that receives, within a distributed computing network from a computing node, confirmation of a validated transfer of footwear from one party to another . The server determines, from an encrypted relational database, a unique identification code for the owner of the assigned part and generates a cryptographic digital asset for the footwear.
This cryptographic digital asset includes a digital shoe and a unique digital shoe identification code. The server connects the cryptographic digital asset with the unique owner identification code and records the shoe's unique digital identification code and the unique owner identification code on a transaction block with a distributed blockchain ledger.
4. 
Platform for creating and using actionable NFTs, patent US20200242105A1 , [13 ].
The patent proposes a distributed computing platform and method for creating actionable digital assets and non-fungible tokens that can be used for influence and mobilization, called KNFT. A KNFT application server can be configured to receive, within the network, a request for a new non-fungible token from a compute node. A KNFT comprises a unique KNFT identifier consisting of at least one element
RO 135950 AO
of metadata and at least one social vector. A blockchain proxy server may be operatively connected to the KNFT application server and a distributed blockchain ledger. Social actions may include user comments, interactions, direct messages, or reactions. A property change of a KNFT can be written to the social vector by the KNFT API.
The social vector may comprise social vector data from at least one previous owner, and the KNFT may further comprise a traffic path vector incorporating the ownership history of the KNFT.
From processing data from building information modeling (pt. 1 ), to converting digital assets into games (pt. 2 ) and providing secure digital assets (pt. 3 ) or generating and using actionable NFTs (pt. 4 ) each solution from those presented previously deals with a part of the method presented in this document.
None of these solutions address the following issues:
• expanding the use of the BIM model for real-time interaction platforms;
• using a digital replica of a real lens for digital sessions;
• creating digital galleries where users can interact with each other and with the model;
• trading (selling/buying) digital replicas, authenticated using blockchain technology, of art objects heritage buildings or parts thereof -----------(objects/objectives that cannot be legally traded in the form physics). --------------------All these points are directly addressed by the method and system presented in this document.
The technical problem of the invention consists in the development of a method by which virtual models of complex real elements of construction type or ambient space (interior or exterior) together with art objects are transposed (digitized) into a dedicated integrated virtual space (BIMverse) with the possibility of:
- secure access (blockchain) to the information in the database,
- real-time interaction of (internet) users, who can use the information they have access to or even contribute (in a controlled manner, for quality reasons) to its development;
- obtaining additional information, to inspect details of the accessed virtual 3D model,
- to request and secure in the blockchain property titles for real or virtual elements,
- to trade secured property titles through NFTs.
RO 135950 AO
The method for integrating the environmental objectives in virtual space and securing the database updated in real time according to the invention removes the disadvantages of the solutions presented above as known in that:
- for the preparation of the database, specialists in various fields are involved (engineering, architecture, landscaping, environment, history, ..., including marketing and psychology) which leads to a high level of quality and accuracy of the information provided,
- accessing the database is done under security conditions, to ensure the integrity and quality of the information provided and to protect the users' private information,
- gives the user more options for using and even updating the information in the database, and he can contribute to improving its quality.
The method for integrating the environmental objectives in virtual space and securing the database updated in real time according to the invention presents the following advantages:
- virtual models of complex real elements such as constructions or ambient space (interior or exterior), decorative and art objects, historical relics, are transposed into a dynamic, secure database, in a dedicated virtual space, with the possibility to be used online including for games or transactions;
------------- allows users to interact in real time, with each other and with the database;--
- allows the user access to additional information regarding details that are of interest to him;
- allows the creation of additional information that can be added to the existing information, thus contributing to the improvement of the quality of the content of the database;
- allows securing and online transfer of property titles for the real equivalent of a 3D model (metaverse);
- provides the ability to create secure NFT digital collections of non-tradable real-world art objects (eg Gioconda painting, David statue, sa) in the form of digital copies authorized by the rightful owner of the art object.
- significantly reducing data traffic between the server and clients, allowing a significantly larger number of users to interact in real time.
An embodiment of the invention is given below in relation to:
- figure 1 , which represents the implementation method and the resources involved;
- figure 2 , which represents the NTF concept for trading a real or virtual asset.
RO 135950 AO
The support system for the application of the method for the integration of environmental objectives in virtual space and securing the database updated in real time is composed of (figure 1 ):
- 3D scanning and/or recording devices (1 ), computer equipment (3 ), including 3D modeling programs specific to construction and architecture [14 ], graphics engines for game development, [15 ],
- server network with internet connection to ensure the necessary traffic, for access to databases and for security (5 ),
- blockchain technology for security [16 ], (8 ).
The method proposed according to the invention has in mind the establishment of a dual database, where the control of access to the information contained in it and the interaction of users, the improvement of the content of the database and its quality, but also the exploitation of the information contained or transited through the management of information and system resources support used to apply the method after a procedure carried out in the following steps:
- transposing the valuable characteristics of an objective into digital format by: scanning (photogrammetry, laser scanning, LIDAR; for construction, open space with topological details, or indoor ambient space, physical objects), video recording and/or audio recording (for goods under copyright protection).
- establishing the purpose of bidding for the BIMTwin engineering model of the objective in accordance with the requirements of the rightful owner of the actual objective (e.g. time tracking of the objective, organization of information related to structural/architectural interventions on the objective, location and mode of access to exhibition spaces, events, etc.);
- for two- or three-dimensional physical objectives, the reconstruction of the model in digital, virtual 3D format. It will be transformed into the BIMTwin (DigitalTwin) engineering model by identifying and eliminating nonconformities with reality as well as all information that is not important for the user;
- additional information is prepared in the form of text and/or links to external documents, with two- or three-dimensional details (photos, sketches, virtual 3D details) or even instructions for use, guarantees, drawn up in accordance with the purpose of the offer and the profile of the target user ;
- after creating and uploading the model to the database with limited access, the BIMTwin model is secured using blockchain to ensure data integrity and limit uncontrolled interventions on the model;
RO 135950 AO
- for posting in the virtual space, the MetaTwin model is prepared by reducing the information contained in the BIMTwin model (e.g.: in the case of a virtual tour to promote a tourist objective, installations, fittings, etc. are not of interest) and adding additional information related to the objects of art, history, sa;
- the MetaTwin models with open architecture (possibility of intervention for changes and control by the legal owner) are loaded into a database accessible online, BIMverse platform. Architectural interventions are limited to clearly defined areas and are subject to the approval of the owner of the actual objective.
The MetaTwin model is created as a digital representation of the real object and secured in the blockchain to limit unauthorized interventions and preserve data integrity;
In the case of a real estate objective within the BIMTwin model, it is thus possible to develop the digital model by periodically adding information (up-grade), centralizing structural and architectural information, as well as tracking the evolution over time of some key parameters for the real structure (e.g. deformations , humidity).
The MetaTwin model will be a digital replica of the actual lens representing the lens and its details at the date of digitization. For a representation as close as possible to reality, all the essential details of the original objective will be replicated: the original shape and structure, the original colors (walls, ceilings, roof, etc.), interior details, carpets and/or frescoes (if applicable ) which will be represented as high resolution pictures.
For tourist attractions, all art objects (paintings, statues, furniture, etc.) inside will be scanned / photographed separately and secured in the blockchain with NFTs assigned to them.
- the MetaTwin model is created as a digital representation of the real object and secured in the blockchain to limit unauthorized interventions and preserve data integrity. In the next step, the target is assigned an NFT that will be used to provide buyers with proof of ownership.
The model used in the method according to the invention can be: i) the digital representation of a real object, figure 2  (as in the case of current trading platforms), ii) the digital form of an asset that cannot be the object of a physical transfer of ownership (e.g. : works of art, artistic products under copyright protection, sa,) or iii) a completely new element created by users (eg a song, a photo, a sketch, a 3D model, etc.);
- users can connect through portals that will ensure the digitization of the user, through an avatar (with different levels of detail/complexity), depending on the preferences declared during registration;
- within the BIMverse platform, users will be able to communicate audio in real time, using the means of digital communication (headset, microphone). Visually, two options will be available, namely: i) virtual reality (using appropriate equipment) and ii) simple digital environment (using the interface posted on the computer screen) to render the environment.
in addition, users have the possibility of organizing and accessing "virtual rooms", for the exchange of opinions, discussions and transactions in private;
—the user—can acquire a—property secured in the blockchain—through-------------by means of an NFT, and at a later, clearly defined date, the traded good is sent to the buyer: as the real object , figure 2 , or the digital representation of an asset that cannot be the object of a physical transfer of ownership (e.g.:
works of art, artistic products under copyright protection, sa,), in the form of a digital copy (2D or 3D) whose trading will be done with a certificate of authenticity and authorization from the rightful owner. This creates the possibility of creating digital collections, customized for the user's field of interest;
- in specially arranged places inside the virtual objective (e.g. the cellar of a castle) NFTs will be made available to users (as virtual visitors) as digital representations of real objects (e.g. souvenirs, wine bottles) that can be purchased digitally, as a secure totem, to then be sent by courier to the buyer;
- outside the virtual objective, in the immediate vicinity, interaction areas will be defined with different themes established according to the objective type and the interest shown by users, where they can access or purchase NFTs, interact and offer NFTs for trading -s registered in own name;
- these areas are to be concessioned by the rightful owner of the real objective and will be subject to the rules defined by the platform in direct collaboration with the owner, for each individual area (form of presentation, additional data, colors, taxes, etc.);
- each user transaction will be charged based on the information in the blockchain, and the charges will be used to finance the optimal operation of the platform, to develop and update the BIMtwin model, and to cover part of the costs required to maintain the real objective.
For the first step of the method, the physical characteristics of a real target (I), figure 1 , are scanned using one or more of the currently available 3D scanning methods (1 ) (photogrammetry, LIDAR, laser) and are translated into -a point cloud (2 ) to be used as the basis for creating the 3D digital model (II).
The digitization and 3D modeling process (3 ) involves specific 3D modeling workstations and programs, compatible with engineering and architectural applications.
In the next stage (4 ), the development of the BIMTwin model (III) is carried out, which contains essential information for the real objective (information about materials, physical and mechanical properties, resistance of structural elements, level of degradation, etc.). For the development of this model, several specialists/experts from various disciplines (engineering, architecture, history, etc.) will be involved.
The model (III) can be used to track (5 ) the evolution over time of the real objective (I), for the digital archiving and securing of documents associated with intervention works on the objective (5 ').
In a later stage, the development (6 ) of the MetaTwin (IV) model involves taking the architectural and engineering information essential to the shape and supplementing it with relevant historical information to create a digital replica of the original lens, undamaged and with as much original visual detail as possible to allow the digital visit of the objective. Next, models (III) and
-------(IV) are stored on the server (V) where they can be accessed by users (VI) *** truncated to 32500 characters ***</t>
  </si>
  <si>
    <t>The present invention relates to a system and method for generating an avatar based on user information and providing an NFT for the avatar receiving the user&amp;#39;s biometric information activity information and medical information through a VR device You can create an avatar in virtual reality generate avatar hash information for the avatar request an external blockchain network to issue an NFT based on the avatar hash information and receive the NFT to receive the NFT. It relates to a system and method for generating an avatar based on user information and providing an NFT for the avatar.</t>
  </si>
  <si>
    <t>System and method for generating an avatar based on a user's information and providing an nft for avatar</t>
  </si>
  <si>
    <t>avatar|hash information|aging information|content provided</t>
  </si>
  <si>
    <t>KR20220027135A</t>
  </si>
  <si>
    <t>A system for generating an avatar based on user information and providing an NFT for the avatar, comprising: an HMD mounted to a user to provide images and sounds for virtual reality, and to sense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and generates an avatar of the user to provide a plurality of virtual reality contents to the user;NFT is generated by transmitting avatar hash information including object information related to the unique properties of the avatar, input information related to the information input by the user, and original information related to the original state of the avatar to an external blockchain network. an NFT providing unit for requesting and providing the generated NFT to the user; and an avatar update unit that provides information about the avatar to an external metaverse platform, receives interaction information that a user has interacted with using the avatar on the external metaverse platform, and updates the avatar; including, wherein the VR service unit includes: a virtual reality implementation unit that is available only to the user and implements a virtual reality in which the plurality of virtual reality contents are provided; a VR communication unit that communicates with the VR device to exchange information; image information received from the VR device and inputted through the camera device; EEG information of the user measured by the EEG; and the user's pulse information measured by the pulse meter; including, biometric information of the user;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created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and includes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t>
  </si>
  <si>
    <t>A system for generating an avatar based on user information and providing an NFT for the avatar, comprising: an HMD mounted to a user to provide images and sounds for virtual reality, and to sense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and generates an avatar of the user to provide a plurality of virtual reality contents to the user;NFT is generated by transmitting avatar hash information including object information related to the unique properties of the avatar, input information related to the information input by the user, and original information related to the original state of the avatar to an external blockchain network. an NFT providing unit for requesting and providing the generated NFT to the user; and an avatar update unit that provides information about the avatar to an external metaverse platform, receives interaction information that a user has interacted with using the avatar on the external metaverse platform, and updates the avatar; including, wherein the VR service unit includes: a virtual reality implementation unit that is available only to the user and implements a virtual reality in which the plurality of virtual reality contents are provided; a VR communication unit that communicates with the VR device to exchange information; image information received from the VR device and inputted through the camera device; EEG information of the user measured by the EEG; and the user's pulse information measured by the pulse meter; including, biometric information of the user;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created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and includes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
delete
The method according to claim 1, wherein the NFT provider comprises: generating avatar hash information by applying a hash function to the information on the avatar to generate avatar hash information;an avatar NFT generation request step of requesting NFT generation for the avatar by transmitting the avatar hash information to the external blockchain network; and an avatar NFT receiving step of receiving the NFT issued by the external blockchain network.
The method according to claim 3, wherein the avatar hash information includes object information, input information, and original information, and the object information includes identification information of a user who created the avatar, the date and time the avatar was created, and the name of the avatar. and the input information includes the user's biometric information received by the VR device, received information including activity information and medical information received by the user's smartphone, and one or more medical history input by the user It includes disease information based on medical information, and the original information includes a 3D modeling file of the avatar, a plurality of photos obtained from different angles with respect to the avatar, skin condition information of the avatar, hair condition information, and a skeleton of the avatar. A system for providing an NFT for an avatar, including appearance characteristic information including a degree of curvature, an eye inclination and a mouth shape, aging information of the avatar, and a movement speed of the avatar.
The method according to claim 1, wherein the avatar update unit provides an avatar information providing step of providing information about the avatar to an external metaverse platform;an interaction information receiving step of receiving interaction information corresponding to the avatar from the external metaverse platform; and an avatar update step of extracting avatar-related information from the interaction information and updating the avatar based on the avatar-related information.
The method according to claim 5, wherein in the step of updating the avatar, when the game is provided on the external metaverse platform, the aging information is adjusted based on the level-up information, the number of collected items, and the number of cleared quests, and Based on the avatar's skin condition information, hair condition information, skeleton curvature, eye inclination and mouth shape, the avatar is updated, and when the game is provided on the external metaverse platform, use time, acquisition skill A system for providing an NFT for an avatar, wherein the movement speed is adjusted based on the number and the number of worn items, and the avatar is updated based on the movement speed.
delete
delete
delete
The method according to claim 1, wherein the first content provided to the user by the first content providing unit is content for strengthening the user's cognitive ability and concentration, including finding a wrong picture, arithmetic, and jigsaw puzzle, and the second content The second content provided to the user by the content providing unit is content capable of performing physical activity strengthening training of the user including walking, stretching and squatting, and the third content provided to the user by the third content providing unit 3 content, the user performs intensive training on the injured body part, or performs intensive training on cognitive ability enhancement including the user's memory, judgment, language ability, and ability to grasp space and time. A system that provides NFTs for avatars, content for users to train in areas of weakness.
The method according to claim 1, wherein the aging information control unit, Concentration score calculating step of calculating an intensity score based on the user's EEG information measured while the user performs the first content;an activity score calculating step of calculating an activity score based on the user's pulse information and EMG information measured while the user performs the second content;an execution result score calculating step of calculating a first score, a second score, and a third score, respectively, based on the execution result of the first content, the execution result of the second content, and the execution result of the third content; and an aging information reduction step of reducing aging information based on the sum of the first score, the second score, the third score, the concentration score, and the activity score. system to provide.
A method of generating an avatar based on user information and providing an NFT for the avatar implemented in a system for providing the NFT for the avatar, the system comprising: a system mounted on a user to provide images and sounds for virtual reality;, HMD for detecting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and generates an avatar of the user to provide a plurality of virtual reality contents to the user;NFT is generated by transmitting avatar hash information including object information related to the unique properties of the avatar, input information related to the information input by the user, and original information related to the original state of the avatar to an external blockchain network. an NFT providing unit for requesting and providing the generated NFT to the user; and an avatar update unit that provides information about the avatar to an external metaverse platform, receives interaction information that a user has interacted with using the avatar on the external metaverse platform, and updates the avatar; including, wherein the method comprises, by the VR service unit, a virtual reality implementation step of realizing, by the VR service unit, virtual reality available only to the user and provided with a plurality of virtual reality contents;a VR communication step of communicating with the VR device and exchanging information by the VR service unit;image information received from the VR device by the VR service unit and received through the camera device; EEG information of the user measured by the EEG; and the user's pulse information measured by the pulse meter; including, biometric information of the user; and a user information input step of receiving user information including; and activity information and medical information received from the user's smartphone;an avatar generation step of generating, by the VR service unit, an avatar of the user based on the user information in the virtual reality implemented by the virtual reality realization step; and providing, by the VR service unit, the plurality of contents to the avatar created in the virtual reality, and updating the appearance of the avatar each time the contents are performed., deriving each appearance characteristic information from a plurality of the image information, averaging a plurality of the derived appearance characteristic information to derive a character determination parameter in the form of a one-dimensional vector, and based on the character determination parameter, the basic avatar Basic appearance determining step of determining the appearance; an aging information determining step of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determination step;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step of determining the moving speed of the avatar in this way, wherein the aging information determining step includes the user's skin condition information, hair condition information, and a bent skeleton from the image information input through the camera device. a first aging information step of deriving first aging information including a degree;a second aging information step of deriving second aging information including the stability of the EEG and the concentration of the user from the EEG information of the user measured by the EEG;a third aging information step of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and includes a summation score obtained by summing each score and each score. Comprehensive judgment module step of deriving a; including, wherein the VR content providing step is to provide content for which the difficulty is determined based on the aging information of the user, and the user's cognitive ability and concentration reinforcement training can be performed, a first content providing step; a second content providing step of determining a difficulty level based on the activity information of the corresponding user and providing content capable of performing the user's physical activity reinforcement training; a third content providing step of determining the type of content based on the disease information of the user and providing content that can be trained on a body part or cognitive ability requiring rehabilitation; The result of performing the contents provided in the first contents providing step, the second contents providing step, and the third contents providing step, the EEG information measured by the EEG during the execution period for the contents, and An aging information control step of calculating one or more scores based on the pulse information measured by the pulse meter, and adjusting the aging information according to the one or more scores; and an avatar appearance updating step of updating the appearance of the user's avatar by adjusting the first graphic effect according to the adjusted aging information by the aging information adjustment step.</t>
  </si>
  <si>
    <t>G06T01340000 | A61B00500000 | A61B00502400 | A61B00510700 | A61B00511000 | A61B00529100 | G02B02701000 | G06F02144000 | G06Q02036000 | G06T01900000</t>
  </si>
  <si>
    <t>KR102445134B1</t>
  </si>
  <si>
    <t>KR102445134 B1</t>
  </si>
  <si>
    <t>I-000230849564</t>
  </si>
  <si>
    <t>https://patentscout.innography.com/share/pUu1W9E0Fulazxcn_2DAZQ%3D%3D</t>
  </si>
  <si>
    <t>https://patentscout.innography.com/share/pUu1W9E0Fulazxcn_2DAZQ%3D%3D/download</t>
  </si>
  <si>
    <t>https://v3.espacenet.com/publicationDetails/biblio?CC=KR&amp;NR=102445134B1&amp;KC=B1&amp;FT=D&amp;date=20220919&amp;DB=EPODOC&amp;locale=</t>
  </si>
  <si>
    <t>KR20102445134 B1</t>
  </si>
  <si>
    <t>1.  A system for generating an avatar based on user information and providing an NFT for the avatar, comprising: an HMD mounted to a user to provide images and sounds for virtual reality, and to sense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and generates an avatar of the user to provide a plurality of virtual reality contents to the user;NFT is generated by transmitting avatar hash information including object information related to the unique properties of the avatar, input information related to the information input by the user, and original information related to the original state of the avatar to an external blockchain network. an NFT providing unit for requesting and providing the generated NFT to the user; and an avatar update unit that provides information about the avatar to an external metaverse platform, receives interaction information that a user has interacted with using the avatar on the external metaverse platform, and updates the avatar; including, wherein the VR service unit includes: a virtual reality implementation unit that is available only to the user and implements a virtual reality in which the plurality of virtual reality contents are provided; a VR communication unit that communicates with the VR device to exchange information; image information received from the VR device and inputted through the camera device; EEG information of the user measured by the EEG; and the user's pulse information measured by the pulse meter; including, biometric information of the user; and a user information input unit for receiving user information including; and activity information and medical information received from the user's smartphone; an avatar generating unit for generating an avatar of the user based on the user information in the virtual reality implemented by the virtual reality implementing unit; and a VR content providing unit configured to provide the plurality of contents to the avatar created in the virtual reality, and update an appearance of the avatar whenever the avatar is performed, wherein the avatar generation unit includes a plurality of the image information A basic appearance for deriving each appearance characteristic information from the avatar, averaging a plurality of the derived exterior characteristic information to derive a character determination parameter in the form of a one-dimensional vector, and determining the basic appearance of the avatar based on the character determination parameter decision part; an aging information determining unit for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decision unit;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unit for determining the moving speed of the avatar in a manner such as, wherein the aging information determining unit includes the user's skin condition information, hair condition information, and the degree of curvature of the skeleton in the image information input through the camera device a first aging information unit for deriving first aging information including;a second aging information unit for deriving second aging information including the stability of the EEG and the concentration of the user from the EEG information of the user measured with the EEG;a third aging information unit for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 and includes a summation score obtained by summing each score and each score. A comprehensive judgment module for deriving a 1 content provider; a second content providing unit for providing content for which difficulty is determined based on the activity information of the corresponding user, and for which the user's physical activity reinforcement training can be performed; a third content providing unit for providing content for which a type of content is determined based on the user's disease information and training for a body part or cognitive ability requiring rehabilitation training; The results of performing the contents provided by the first contents providing unit, the second contents providing unit, and the third contents providing unit, EEG information measured by the EEG measuring device during the execution period for the contents, and Based on the pulse information measured by the pulse meter, the aging information control unit for calculating one or more scores, and adjusting the aging information according to the one or more scores; and an avatar appearance update unit configured to update the appearance of the user's avatar by adjusting the first graphic effect according to the adjusted aging information by the aging information adjusting unit.</t>
  </si>
  <si>
    <t>12.  A method of generating an avatar based on user information and providing an NFT for the avatar implemented in a system for providing the NFT for the avatar, the system comprising: a system mounted on a user to provide images and sounds for virtual reality;, HMD for detecting the user's voice; a camera device that captures the user's appearance and derives image information of the user; an EEG attached to the user's head to measure the user's EEG; a pulse meter attached to the user's wrist to measure the user's pulse; and a motion sensing device for measuring the user's movement; a VR device comprising;a VR service unit that communicates with the VR device worn by the user, provides information about virtual reality to the VR device, and generates an avatar of the user to provide a plurality of virtual reality contents to the user;NFT is generated by transmitting avatar hash information including object information related to the unique properties of the avatar, input information related to the information input by the user, and original information related to the original state of the avatar to an external blockchain network. an NFT providing unit for requesting and providing the generated NFT to the user; and an avatar update unit that provides information about the avatar to an external metaverse platform, receives interaction information that a user has interacted with using the avatar on the external metaverse platform, and updates the avatar; including, wherein the method comprises, by the VR service unit, a virtual reality implementation step of realizing, by the VR service unit, virtual reality available only to the user and provided with a plurality of virtual reality contents;a VR communication step of communicating with the VR device and exchanging information by the VR service unit;image information received from the VR device by the VR service unit and received through the camera device; EEG information of the user measured by the EEG; and the user's pulse information measured by the pulse meter; including, biometric information of the user; and a user information input step of receiving user information including; and activity information and medical information received from the user's smartphone;an avatar generation step of generating, by the VR service unit, an avatar of the user based on the user information in the virtual reality implemented by the virtual reality realization step; and providing, by the VR service unit, the plurality of contents to the avatar created in the virtual reality, and updating the appearance of the avatar each time the contents are performed., deriving each appearance characteristic information from a plurality of the image information, averaging a plurality of the derived appearance characteristic information to derive a character determination parameter in the form of a one-dimensional vector, and based on the character determination parameter, the basic avatar Basic appearance determining step of determining the appearance; an aging information determining step of determining aging information of the avatar based on the biometric information, and adding a first graphic effect corresponding to the aging information to the basic appearance;A disease in which disease information of an avatar is determined based on medical information including at least one medical history input by the user, and a second graphic effect corresponding to the disease information is added to the basic appearance to which the first graphic effect is added information determination step; And based on the movement distance or number of steps for a preset time derived from the user's smartphone, the greater the movement distance or number of steps, the higher the movement speed, and the lower the movement speed when the disease information is a disease of the lower body. a moving speed determining step of determining the moving speed of the avatar in this way, wherein the aging information determining step includes the user's skin condition information, hair condition information, and a bent skeleton from the image information input through the camera device. a first aging information step of deriving first aging information including a degree;a second aging information step of deriving second aging information including the stability of the EEG and the concentration of the user from the EEG information of the user measured by the EEG;a third aging information step of deriving third aging information including the user's pulse rate per minute, pulse regularity, and pulse pressure from the user's pulse information measured by the pulse meter; And the first aging information, the second aging information, and the third aging information, each of which is given a score of 1 to 10 , and includes a summation score obtained by summing each score and each score. Comprehensive judgment module step of deriving a; including, wherein the VR content providing step is to provide content for which the difficulty is determined based on the aging information of the user, and the user's cognitive ability and concentration reinforcement training can be performed, a first content providing step; a second content providing step of determining a difficulty level based on the activity information of the corresponding user and providing content capable of performing the user's physical activity reinforcement training; a third content providing step of determining the type of content based on the disease information of the user and providing content that can be trained on a body part or cognitive ability requiring rehabilitation; The result of performing the contents provided in the first contents providing step, the second contents providing step, and the third contents providing step, the EEG information measured by the EEG during the execution period for the contents, and An aging information control step of calculating one or more scores based on the pulse information measured by the pulse meter, and adjusting the aging information according to the one or more scores; and an avatar appearance updating step of updating the appearance of the user's avatar by adjusting the first graphic effect according to the adjusted aging information by the aging information adjustment step.</t>
  </si>
  <si>
    <t>2009-03-13</t>
  </si>
  <si>
    <t>2008-08-11</t>
  </si>
  <si>
    <t>2028-08-11</t>
  </si>
  <si>
    <t>ABSTRACT MANAGEMENT AND APPLICATION OF ENTITLEMENTS [0039] A method and system for managing and applying entitlements is described herein. An identity integration server centrally manages data associated with entitlements for a plurality of identities. The integration server may select one of a plurality of workflows. One or more of a plurality of entitlements to be used in the workflow are selected and a set of identities for which the workflow is applicable is selected. A determination is made as to whether the workflow should be run on the identities. If so then the workflow is initiated. The one or more entitlements are then added to a granted entitlements list. Then a separate process may be unheated to apply the one or more entitlements to the one or more identities.</t>
  </si>
  <si>
    <t>IN4241CHN2008A</t>
  </si>
  <si>
    <t xml:space="preserve">A method comprising: selecting one of a plurality of workflows; selecting one or more of a plurality of entitlements to be used in the selected workflow selecting one or more of a plurality of identities for which the workflow is applicable; initiating the workflow on the one or more selected identities to grant the one or more entitlements to the one or more selected identities; and initiating a process to apply the one or more selected entitlements to the one or more selected identities.
</t>
  </si>
  <si>
    <t>1. A method comprising: selecting one of a plurality of workflows; selecting one or more of a plurality of entitlements to be used in the selected workflow selecting one or more of a plurality of identities for which the workflow is applicable; initiating the workflow on the one or more selected identities to grant the one or more entitlements to the one or more selected identities; and initiating a process to apply the one or more selected entitlements to the one or more selected identities.
2. The method of claim 1, wherein each identity is associated with a stored met averse object.
3. The method of claim 1, further comprising determining whether a selected identity has a selected entitlement.
4. The method of claim 3, furlher comprising initiating the workflow when the selected identity does not have the selected entitlement.
5. The method of claim 1, further comprising determining a workflow for revoking a selected entitlement.
6. The method of claim 5, further comprising determining whether the selected identity has a selected entitlement that should be revoked.
7. The method of claim 6, further comprising initiating the workflow for revoking a selected entitlement when the selected identity has a selected entiflement that should be revoked.
8. The method of claim 1, wherein one or more of the plurality of entitlements is an account.
9. The method of claim I, wherein one or more of the plurality of entitlements is an access right.
10. A system comprising: a data store to store metaverse objects, each metaverse object associated with an identity; one or more management agents coupled to one or more directories to send requests for entitlements and to apply entitlements to the corresponding directories; and an integration server coupled to the data store and to the one or more management agents to centrally manage data associated with entitlements for a plurality of identities, the integration server to receive the requests for entitlements from the management agents, to initiate corresponding workflows for the requests, and to initiate processes to apply the entitlements to the corresponding directories through the corresponding management agents.
11. The system of claim 10, where the integration server to maintain for each metaverse object a granted entitlements list indicating one or more entitlements that have been granted to the metaverse object via the corresponding workflows.
12. The system of claim 10, where the integration server to maintain for each metaverse object a current entitlements list indicating one or more entitlements the metaverse object currently has.
13. The system of claim 10, further comprising a data store coupled to the integration server to store workflows, each workflow associated with a business process to grant or revoke at least one of the entitlements for at least one of the identities managed by the integration server.
14. The system of claim 10, further comprising a data store coupled to the integration server to store definitions for the entitlements managed by the integration server.
15. One or more device-readable media with device-executable instructions for performing steps comprising: receiving a request to grant an entitlement to an identity, the identity associated with a metaverse object; determining a business process associated with granting the requested entitlement to the identity; initiating the business process to grant the requested entitlement to the identity; and initiating a separate process to apply the requested entitlement to the identity.
16. The one or more device-readable media of claim 15, wherein the steps further comprise adding the requested entitlement to a list of granted entitlements associated with the identity.
17. The one or more device-readable media of claim 15, wherein initiating a separate process to apply the requested entitlement to the identity comprises sending a request to a management agent to apply the requested entitlement to the identity.
18. The one or more device-readable media of claim 17, wherein the steps further comprise adding the requested entitlement to a list of current entitlements associated with the identity when the requested entitlement has been applied to the identity.
19. The one or more device-readable media of claim 15, wherein the requested entitlement is an account.
20. The one or more device-readable media of claim 15, wherein the requested</t>
  </si>
  <si>
    <t>IN</t>
  </si>
  <si>
    <t>G06Q0010000000 | G06Q0010633000</t>
  </si>
  <si>
    <t>G06Q01000000 | G06F01700000 | G06Q09900000</t>
  </si>
  <si>
    <t>$8721</t>
  </si>
  <si>
    <t>IN2008 CN04241</t>
  </si>
  <si>
    <t>I-000197704524</t>
  </si>
  <si>
    <t>20 years from 2008-08-11 (file date)</t>
  </si>
  <si>
    <t>https://patentscout.innography.com/share/Slv8G6eR69VaD8ovF6AxFQ%3D%3D</t>
  </si>
  <si>
    <t>https://patentscout.innography.com/share/Slv8G6eR69VaD8ovF6AxFQ%3D%3D/download</t>
  </si>
  <si>
    <t>http://ipindiaservices.gov.in/publicsearch</t>
  </si>
  <si>
    <t>IN2008DN04241 A</t>
  </si>
  <si>
    <t>IN2008CN04241 A</t>
  </si>
  <si>
    <t>IN Applications</t>
  </si>
  <si>
    <t>1. A method comprising: selecting one of a plurality of workflows; selecting one or more of a plurality of entitlements to be used in the selected workflow selecting one or more of a plurality of identities for which the workflow is applicable; initiating the workflow on the one or more selected identities to grant the one or more entitlements to the one or more selected identities; and initiating a process to apply the one or more selected entitlements to the one or more selected identities.</t>
  </si>
  <si>
    <t>9. The method of claim I, wherein one or more of the plurality of entitlements is an access right.</t>
  </si>
  <si>
    <t>15. One or more device-readable media with device-executable instructions for performing steps comprising: receiving a request to grant an entitlement to an identity, the identity associated with a metaverse object; determining a business process associated with granting the requested entitlement to the identity; initiating the business process to grant the requested entitlement to the identity; and initiating a separate process to apply the requested entitlement to the identity.</t>
  </si>
  <si>
    <t>CN110824704 A | US11048298 B2 | WO2021167696 A1 | CN113330353 A | US11526015 B2</t>
  </si>
  <si>
    <t>2018-07-31</t>
  </si>
  <si>
    <t>2017-01-25</t>
  </si>
  <si>
    <t>2037-01-24</t>
  </si>
  <si>
    <t>This case provides a wear-type virtual reality display device includes: the display comprises a display body a positioning bridle and an inflatable cushion module; the inflatable gasket module is arranged in the frame of the display body and comprises: the cotton body the inflatable cushion the air channel the air pump the air pressure sensor the contact sensor and the control module; when the contact sensor senses that external pressure is generated an enabling signal is sent to the control module to drive the air pump to act so that air is guided into the inflatable cushion through the air channel to expand and the shape of the foam body is adjusted accordingly; and when the air pressure sensor senses that the pressure in the inflatable cushion part is higher than a specific threshold value interval the air pressure sensor sends an energy forbidding signal to the control module to control the air pump to stop operating so that the inflatable cushion module is correspondingly attached to the face of a user.</t>
  </si>
  <si>
    <t>Head-mounted virtual reality display device</t>
  </si>
  <si>
    <t>virtual reality display|virtual reality|reality display device|inflatable cushion|control module|air pump|head mounted|foam body</t>
  </si>
  <si>
    <t>Microjet Technology Co Ltd</t>
  </si>
  <si>
    <t>MicroJet Technology Co Ltd</t>
  </si>
  <si>
    <t>CN201710061176A</t>
  </si>
  <si>
    <t xml:space="preserve">A head-mounted metaverse display device, comprising:a display body having a frame;a positioning strap connected to the frame; andan inflatable cushion module, correspond to set up in this frame, and contain at least:a foam body correspondingly arranged in the frame;an inflatable cushion arranged corresponding to the foam body;a gas passage in communication with the inflatable cushion;a gas pump in communication with the gas passage, the gas pump being a piezoelectric actuated gas pump comprising:an air inlet plate, which is provided with at least one air inlet hole, at least one bus bar hole and a central concave part forming a confluence chamber, wherein the at least one air inlet hole is used for leading in air flow, the bus bar hole is corresponding to the air inlet hole, and the air flow of the air inlet hole is guided to converge to the confluence chamber formed by the central concave part;a resonance sheet having a hollow hole corresponding to the confluence chamber, and a movable part around the hollow hole; anda piezoelectric actuator, which is arranged corresponding to the resonance sheet;wherein, a gap is arranged between the resonance sheet and the piezoelectric actuator to form a cavity, so that when the piezoelectric actuator is driven, airflow is guided in from the at least one air inlet hole of the air inlet plate, is collected to the central concave part through the at least one bus bar hole, and then flows through the hollow hole of the resonance sheet to enter the cavity, and resonance transmission airflow is generated by the piezoelectric actuator and the movable part of the resonance sheet;a gas pressure sensor arranged in the gas channel;a contact sensor arranged on one side of the foam body; andthe control module is electrically connected with the gas pump, the air pressure sensor and the contact sensor;when the touch sensor senses that external pressure is generated, the touch sensor sends an enabling signal to the control module, the control module drives the gas pump to act according to the enabling signal, so that gas is led into the inflatable cushion through the gas channel, the inflatable cushion is filled with the gas to expand, and the foam body can correspondingly adjust the shape of the foam body due to the external pressure and the expansion of the inflatable cushion; and when the air pressure sensor senses that the internal pressure of the inflatable cushion is higher than a specific threshold interval, the air pressure sensor sends a forbidden energy signal to the control module, and the control module controls the air pump to stop operating according to the forbidden energy signal, so that the inflatable cushion module is correspondingly attached to the face of a user.
</t>
  </si>
  <si>
    <t>1. A head-mounted metaverse display device, comprising:a display body having a frame;a positioning strap connected to the frame; andan inflatable cushion module, correspond to set up in this frame, and contain at least:a foam body correspondingly arranged in the frame;an inflatable cushion arranged corresponding to the foam body;a gas passage in communication with the inflatable cushion;a gas pump in communication with the gas passage, the gas pump being a piezoelectric actuated gas pump comprising:an air inlet plate, which is provided with at least one air inlet hole, at least one bus bar hole and a central concave part forming a confluence chamber, wherein the at least one air inlet hole is used for leading in air flow, the bus bar hole is corresponding to the air inlet hole, and the air flow of the air inlet hole is guided to converge to the confluence chamber formed by the central concave part;a resonance sheet having a hollow hole corresponding to the confluence chamber, and a movable part around the hollow hole; anda piezoelectric actuator, which is arranged corresponding to the resonance sheet;wherein, a gap is arranged between the resonance sheet and the piezoelectric actuator to form a cavity, so that when the piezoelectric actuator is driven, airflow is guided in from the at least one air inlet hole of the air inlet plate, is collected to the central concave part through the at least one bus bar hole, and then flows through the hollow hole of the resonance sheet to enter the cavity, and resonance transmission airflow is generated by the piezoelectric actuator and the movable part of the resonance sheet;a gas pressure sensor arranged in the gas channel;a contact sensor arranged on one side of the foam body; andthe control module is electrically connected with the gas pump, the air pressure sensor and the contact sensor;when the touch sensor senses that external pressure is generated, the touch sensor sends an enabling signal to the control module, the control module drives the gas pump to act according to the enabling signal, so that gas is led into the inflatable cushion through the gas channel, the inflatable cushion is filled with the gas to expand, and the foam body can correspondingly adjust the shape of the foam body due to the external pressure and the expansion of the inflatable cushion; and when the air pressure sensor senses that the internal pressure of the inflatable cushion is higher than a specific threshold interval, the air pressure sensor sends a forbidden energy signal to the control module, and the control module controls the air pump to stop operating according to the forbidden energy signal, so that the inflatable cushion module is correspondingly attached to the face of a user.
2. The head-mounted metaverse display device of claim 1, wherein the inflatable cushion module further comprises a substrate disposed corresponding to the bezel.
3. The head-mounted virtual reality display apparatus of claim 2, wherein the inflatable cushion and the air channel are disposed between the substrate and the foam body, and the air channel is disposed between the foam body and the inflatable cushion.
4. The head-mounted metaverse display device of claim 2, wherein the inflatable cushion module further comprises a lining cloth correspondingly disposed on one side of the foam body, and the touch sensor is disposed between the foam body and the lining cloth.
5. The head-mounted virtual reality display device of claim 4, wherein the inflatable cushion and the air channel are disposed within the foam body, and the foam body is disposed between the substrate and the lining cloth.
6. The head-mounted virtual reality display apparatus of claim 1, wherein the inflatable cushion module further comprises a release valve, the release valve is disposed on a side surface of the frame of the display body and is in communication with the air channel and the inflatable cushion.
7. The head mounted metaverse display device of claim 6, wherein the release valve is manually actuated to cause gas to exit the inflatable cushion module through the release valve.
8. The head-mounted virtual reality display device of claim 6, wherein the release valve is electrically connected to the control module, and when the contact sensor senses that the external pressure is reduced or eliminated, the contact sensor sends a pressure relief signal to the control module, and the control module drives the release valve to actuate according to the pressure relief signal, so that the gas is exhausted from the release valve to the inflatable cushion module.
9. The head-mounted metaverse display apparatus of claim 1, wherein the control module comprises a battery for providing power to the control module.
10. The head-mounted metaverse display apparatus of claim 1, wherein the piezoelectric actuator comprises:a suspension plate having a first surface and a second surface and capable of bending and vibrating;an outer frame surrounding the suspension plate;at least one bracket connected between the suspension plate and the outer frame to provide elastic support; andthe piezoelectric sheet is attached to a first surface of the suspension plate and used for applying voltage to drive the suspension plate to vibrate in a bending mode.
11. The head-mounted metaverse display apparatus of claim 10, wherein the suspension plate is a square suspension plate and has a convex portion.
12. The head-mounted virtual reality display apparatus of claim 1, wherein the piezo-actuated gas pump comprises a conductive plate, a first insulating plate and a second insulating plate, wherein the air inlet plate, the resonator plate, the piezo-actuator, the first insulating plate, the conductive plate and the second insulating plate are stacked in sequence.</t>
  </si>
  <si>
    <t>Chen, Shichang|Mo, Libang|Liao, Jiayu|Huang, Xianting|Huang, Qifeng|Han, Yonglong</t>
  </si>
  <si>
    <t>CN108345109 A</t>
  </si>
  <si>
    <t>G02B0027017600</t>
  </si>
  <si>
    <t>G02B0027017600 | G02B2027017800</t>
  </si>
  <si>
    <t>CN108345109A|CN108345109B</t>
  </si>
  <si>
    <t>CN108345109 A | CN108345109 B</t>
  </si>
  <si>
    <t>I-000188492508</t>
  </si>
  <si>
    <t>20 years from 2017-01-24 (the day prior to the file date)</t>
  </si>
  <si>
    <t>https://patentscout.innography.com/share/vagyfK-KRFy2CTeeAVmVUw%3D%3D</t>
  </si>
  <si>
    <t>2018-07-31-PUBLICATION|2018-08-24-ENTRY INTO FORCE OF REQUEST FOR SUBSTANTIVE EXAMINATION|2020-09-01-PATENT GRANT</t>
  </si>
  <si>
    <t>https://patentscout.innography.com/share/vagyfK-KRFy2CTeeAVmVUw%3D%3D/download</t>
  </si>
  <si>
    <t>https://v3.espacenet.com/publicationDetails/biblio?CC=CN&amp;NR=108345109B&amp;KC=B&amp;FT=D&amp;date=20200901&amp;DB=EPODOC&amp;locale=</t>
  </si>
  <si>
    <t>1. A head-mounted metaverse display device, comprising:a display body having a frame;a positioning strap connected to the frame; andan inflatable cushion module, correspond to set up in this frame, and contain at least:a foam body correspondingly arranged in the frame;an inflatable cushion arranged corresponding to the foam body;a gas passage in communication with the inflatable cushion;a gas pump in communication with the gas passage, the gas pump being a piezoelectric actuated gas pump comprising:an air inlet plate, which is provided with at least one air inlet hole, at least one bus bar hole and a central concave part forming a confluence chamber, wherein the at least one air inlet hole is used for leading in air flow, the bus bar hole is corresponding to the air inlet hole, and the air flow of the air inlet hole is guided to converge to the confluence chamber formed by the central concave part;a resonance sheet having a hollow hole corresponding to the confluence chamber, and a movable part around the hollow hole; anda piezoelectric actuator, which is arranged corresponding to the resonance sheet;wherein, a gap is arranged between the resonance sheet and the piezoelectric actuator to form a cavity, so that when the piezoelectric actuator is driven, airflow is guided in from the at least one air inlet hole of the air inlet plate, is collected to the central concave part through the at least one bus bar hole, and then flows through the hollow hole of the resonance sheet to enter the cavity, and resonance transmission airflow is generated by the piezoelectric actuator and the movable part of the resonance sheet;a gas pressure sensor arranged in the gas channel;a contact sensor arranged on one side of the foam body; andthe control module is electrically connected with the gas pump, the air pressure sensor and the contact sensor;when the touch sensor senses that external pressure is generated, the touch sensor sends an enabling signal to the control module, the control module drives the gas pump to act according to the enabling signal, so that gas is led into the inflatable cushion through the gas channel, the inflatable cushion is filled with the gas to expand, and the foam body can correspondingly adjust the shape of the foam body due to the external pressure and the expansion of the inflatable cushion; and when the air pressure sensor senses that the internal pressure of the inflatable cushion is higher than a specific threshold interval, the air pressure sensor sends a forbidden energy signal to the control module, and the control module controls the air pump to stop operating according to the forbidden energy signal, so that the inflatable cushion module is correspondingly attached to the face of a user.</t>
  </si>
  <si>
    <t>A method for a connection mechanism in a public cloud network is disclosed. The method includes acquiring a plurality of connection credentials from a public cloud portal (PCP) Admin Device; pairing and registration with a private cloud virtual private network (VPN) server (PCVS) from a private matter gateway (PMG); establishing a plurality of initial VPN tunnels between the PCVS and the PMG; connecting to the PMG on demand between a PCVS smart device client and the PMG through the PCVS; and running a plurality of vertical peer-to-peer (P2P) private and secure PCVS smart device client applications between at least one PCVS smart device client and one of at least one PMG smart device client at least one PMG network service and another PCVS smart device client.</t>
  </si>
  <si>
    <t>Private matter gateway connection mechanism for use in a private communication architecture</t>
  </si>
  <si>
    <t>PRIMES LAB INC.</t>
  </si>
  <si>
    <t>US17/736103</t>
  </si>
  <si>
    <t xml:space="preserve">A method for a connection mechanism in a public cloud network, the method comprising:
setting up at least one public cloud portal (PCP), at least one virtual machine server (VMS), at least one PCP Admin Device, at least one private cloud virtual private network (VPN) server (PCVS), at least one VPN tunnel, and at least one PCVS smart device client on a side of the at least one PCVS to provide a plurality of cloud-based web services, at least one private metaverse (PM) which includes at least one private router, at least one private local area network (LAN), at least one private matter gateway (PMG), at least one PMG Admin Device, at least one PMG network service, and at least one PMG smart device client on a side of a PMG private LAN in a client server relationship;
acquiring a plurality of connection credentials from a PCP Admin Device of the at least one PCP Admin Device;
pairing and registration with a PCVS of the at least one PCVS from a PMG of the at least one PMG;
establishing a plurality of initial VPN tunnels between the PCVS and the PMG;
connecting to the PMG on demand between a PCVS smart device client of the at least one PCVS smart device client and the PMG through the PCVS; and
running a plurality of vertical peer-to-peer (P2P) private and secure PCVS smart device client applications between the at least one PCVS smart device client and one of the at least one PMG smart device client, the at least one PMG network service and another PCVS smart device client;
wherein the connection mechanism is a P2P private and secure connection mechanism between the at least one PCVS smart device client and at least one of the PMG, the at least one PMG smart device client, the at least one PMG network service or the another PCVS smart device client;
wherein the at least one PCP and the at least one VMS which includes the at least one PCVS reside in a hyperscale data center located on the public cloud network;
wherein the at least one PM along with the at least one PMG reside in a plurality of client's remote premises.
</t>
  </si>
  <si>
    <t>1. A method for a connection mechanism in a public cloud network, the method comprising:
setting up at least one public cloud portal (PCP), at least one virtual machine server (VMS), at least one PCP Admin Device, at least one private cloud virtual private network (VPN) server (PCVS), at least one VPN tunnel, and at least one PCVS smart device client on a side of the at least one PCVS to provide a plurality of cloud-based web services, at least one private metaverse (PM) which includes at least one private router, at least one private local area network (LAN), at least one private matter gateway (PMG), at least one PMG Admin Device, at least one PMG network service, and at least one PMG smart device client on a side of a PMG private LAN in a client server relationship;
acquiring a plurality of connection credentials from a PCP Admin Device of the at least one PCP Admin Device;
pairing and registration with a PCVS of the at least one PCVS from a PMG of the at least one PMG;
establishing a plurality of initial VPN tunnels between the PCVS and the PMG;
connecting to the PMG on demand between a PCVS smart device client of the at least one PCVS smart device client and the PMG through the PCVS; and
running a plurality of vertical peer-to-peer (P2P) private and secure PCVS smart device client applications between the at least one PCVS smart device client and one of the at least one PMG smart device client, the at least one PMG network service and another PCVS smart device client;
wherein the connection mechanism is a P2P private and secure connection mechanism between the at least one PCVS smart device client and at least one of the PMG, the at least one PMG smart device client, the at least one PMG network service or the another PCVS smart device client;
wherein the at least one PCP and the at least one VMS which includes the at least one PCVS reside in a hyperscale data center located on the public cloud network;
wherein the at least one PM along with the at least one PMG reside in a plurality of client's remote premises.
2. The method of claim 1, wherein the plurality of connection credentials include a plurality of plurality of PCVS server credentials and a plurality of PCVS client credentials.
3. The method of claim 2, wherein the at least one PCP is accessed by the at least one PCP Admin Device to log in and acquire the plurality of PCVS server credentials and the plurality of PCVS client credentials.
4. The method of claim 2, wherein the plurality of PCVS server credentials are sent to a PMG Admin Device of the at least one PMG Admin Device, and the plurality of PCVS client credentials are sent to the PCVS smart device client for a connection.
5. The method of claim 2, wherein the plurality of PCVS server credentials include a PCVS virtual machine server domain name and a PCVS virtual machine server login passcode, and the plurality of PCVS client credentials include a PCVS smart device client VPN profile file and a PCVS smart device client VPN login password.
6. The method of claim 2, wherein the plurality of PCVS server credentials are imported by a PMG Admin Device of the at least one PMG Admin Device to set into the PMG in order for the PMG to pair and register with the PCVS.
7. The method of claim 1, wherein the step of establishing the plurality of initial VPN tunnels between the PCVS and the PMG comprises:
calling back, by the at least one PCVS in the public cloud network, the at least one PMG in a private LAN of the at least one PM to enable a first VPN channel;
establishing, by the at least one PMG, a first VPN tunnel with the at least one PCVS, if the first VPN channel is enabled by the PCVS;
enabling, by the at least one PMG, a third VPN channel with the at least one PCVS, if a plurality of proper credentials are established;
establishing, by the PCVS, a third VPN tunnel on demand between the PCVS and the PMG, pending a completion in establishing a second VPN tunnel on demand between the PCVS smart device client and the PCVS;
enabling, by the PCVS, a second VPN channel on demand between the PCVS and the at least one PCVS smart device client from a cloud in an Internet; and
establishing, by the at least one PCVS smart device client, the second VPN tunnel on demand between the PCVS and the at least one PCVS smart device client;
wherein the second VPN tunnel on demand and the third VPN tunnel on demand are channeled into a single VPN tunnel between the PCVS smart device client and the PMG through the PCVS, and ultimately to the at least one PMG smart device client, the at least one PMG network service and the another PCVS smart device client.
8. The method of claim 1, wherein the step of establishing the plurality of initial VPN tunnels between the PCVS and the PMG comprises:
calling back, by the at least one PCVS in the public cloud network, the at least one PMG in a private LAN of the at least one PM to enable a first VPN channel;
establishing, by the at least one PMG, a first VPN tunnel with the at least one PCVS, if the first VPN channel is enabled by the PCVS;
enabling, by the PCVS, a second VPN channel on demand between the PCVS and at least one PCVS smart device client from a cloud in an Internet; and
establishing, by the at least one PCVS smart device client, the second VPN tunnel on demand between the PCVS and the at least one PCVS smart device client;
wherein the first VPN tunnel and the second VPN tunnel on demand are channeled into a single VPN tunnel between the PCVS smart device client and the PMG through the PCVS, and ultimately to the at least one PMG smart device client, the at least one PMG network service and the another PCVS smart device client.
9. The method of claim 1, wherein the step of connecting to the PMG on demand between the PCVS smart device client and the PMG through the PCVS comprises:
starting, by the at least one PCVS smart device client, request for a connection to the at least one PCVS through a PCVS VPN client profile to establish a second VPN tunnel on demand, in case that the at least one PCVS smart device client intends to access to the at least one PMG smart device client or a private network service (PNS) on a private LAN of the at least one PM.
10. The method of claim 1, wherein the step of running the plurality of vertical P2P private and secure PCVS smart device client applications between the at least one PCVS smart device client and the one of the at least one PMG smart device client, the at least one PMG network service and the another PCVS smart device client comprises:
joining, by the PCVS smart device client in the public cloud network, a private and secure communication session as a guest with a host PCVS smart device client;
wherein the PCVS smart device client is available for access in a LAN mode for a VPN connection from the at least one PCVS smart device client;
wherein the private and secure communication session includes at least one of a video, an audio, a text or an application, and the application includes a program, an utility, an operation or a transaction that is recognizable by the PCVS smart device client and the host PCVS smart device client;
wherein the at least one PMG smart device client along with the at least one PMG network service on a private LAN of the at least one PMG are available for access in the LAN mode for the VPN connection from the at least one PCVS smart device client.
11. The method of claim 10, wherein the application is a crypto currency application including a program, an utility, or a transaction that is recognizable by the at least one PCVS smart device client and the another PCVS smart device client, when the plurality of vertical P2P private and secure PCVS smart device client applications between the at least one PCVS smart device client and the another PCVS smart device client is run.
12. The method of claim 10, wherein the PCVS is configured on demand to offer the plurality of choices among geo-blocking, geo-portal, or geo-home in accessing an on-line content, when the plurality of vertical P2P private and secure PCVS smart device client applications between the at least one PCVS smart device client and the another PCVS smart device client is run.
13. The method of claim 1, wherein the at least one PCP comprises:
an Internet service; and
a program that executes instructions stored in memory to instruct the at least one PCP to:
create and manage an authorized client list to accommodate the at least one PCP Admin Device;
create and manage the plurality of connection credentials including a plurality of PCVS server credentials and a plurality of PCVS client credentials; and
conduct the step of acquiring the plurality of connection credentials from the PCP Admin Device.
14. The method of claim 1, wherein the at least one VMS comprises:
an Internet service; and
a program that executes instructions stored in memory to instruct the at least one VMS to:
create and manage an authorized client list to accommodate the at least one PCP Admin Device, the at least one PMG, and the at least one PCVS; and
manage a communication between the PCVS and the PCVS smart device client.
15. The method of claim 1, wherein the at least one PCP Admin device comprises:
a computing device;
a connection to a network; and
a program that executes instructions stored in memory to instruct the at least one PCP Admin Device to:
establish a first network service running in a LAN mode;
establish a second network service based on Internet protocol;
establish a third network service based on an industry standard network protocol; and
conduct the step of acquiring the connection credentials from the PCP Admin Device.
16. The method of claim 1, wherein the at least one PCVS comprises:
a computing device;
a connection to a network; and
a program that executes instructions stored in memory to instruct the at least one PCVS to:
create and manage a first authorized client list to accommodate the at least one PCVS smart device client through at least one VPN connection;
create and manage a second authorized client list to accommodate the at least one PMG through the at least one VPN connection;
conduct the step of pairing and registration with the PCVS from the PMG;
conduct the step of establishing the plurality of initial VPN tunnels between the PCVS and the PMG; and
conduct the step of connecting to the PMG on demand between the PCVS smart device client and the PMG through the PCVS.
17. The method of claim 1, wherein the at least one PCVS smart device client comprises:
a computing device;
a connection to a network; and
a program that executes instructions stored in memory to instruct the PCVS smart device client to:
establish a first network service based on Internet protocol;
establish a second network service based on an industry standard network protocol;
create and manage an Internet connection with the at least one VMS and the at least one PCVS through an VPN connection;
create and manage a connection with the at least one PMG smart device client through the VPN connection;
conduct the step of connecting to the PMG on demand between the PCVS smart device client and the PMG through the PCVS; and
conduct the step of running the plurality of vertical P2P private and secure PCVS smart device client applications between the at least one PCVS smart device client and the one of the at least one PMG smart device client, the at least one PMG network service and the another PCVS smart device client.
18. The method of claim 1, wherein the at least one PM comprises:
an Internet router;
at least one private LAN;
at least one private network service;
the at least one PMG smart device client; and
the at least one PMG.
19. The method of claim 1, wherein the at least one PMG comprises:
a computing device;
a connection to a network; and
a program that executes instructions stored in memory to instruct the at least one PMG to:
create and manage an authorized client list to accommodate the at least one PCVS through a VPN connection;
conduct the step of pairing and registration with the PCVS from the PMG;
conduct the step of establishing the plurality of initial VPN tunnels between the PCVS and the PMG;
conduct the step of connecting to the PMG on demand between the PCVS smart device client and the PMG through the PCVS; and
conduct the step of running the plurality of vertical P2P private and secure PCVS smart device client applications between the at least one PCVS smart device client and the one of the at least one PMG smart device client, the at least one PMG network service and the another PCVS smart device client.
20. The method of claim 1, wherein the at least one PMG network service comprises:
a first network service running in a LAN mode to avoid monitoring or recording due to a strength of an industry recognized VPN tunnel;
a second network service based on Internet protocol;
a third network service based on an industry standard network protocol;
a fourth network service that is platform agnostic and simultaneously compatible with all existing fragmented IoT device; and
a fifth network service based on the step of connecting to the PMG on demand between the PCVS smart device client and the PMG through the PCVS.
21. The method of claim 1, wherein the at least one PMG smart device client comprises:
a computing device;
a connection to a network; and
a program that executes instructions stored in memory to instruct the at least one PMG smart device client to:
establish a first network service running in a LAN mode;
establish a second network service based on Internet protocol;
establish a third network service based on an industry standard network protocol;
conduct the step of connecting to the PMG on demand between the PCVS smart device client and the PMG through the PCVS; and
conduct the step of running the plurality of vertical P2P private and secure PCVS smart device client applications between the at least one PCVS smart device client and the at least one PMG smart device client.
22. The method of claim 1, wherein the at least one PMG Admin device comprises:
a computing device;
a connection to a network; and
a program that executes instructions stored in memory to instruct the at least one PMG Admin Device to:
establish a first network service running in a LAN mode;
establish a second network service based on Internet protocol;
establish a third network service based on an industry standard network protocol; and
conduct the step of pairing and registration with the PCVS from the PMG.
23. The method of claim 1, wherein the at least one VPN tunnel comprises:
at least one first network service based on Internet protocol;
at least one second network service based on an industry standard network protocol;
a privacy and a security, as well as a future proof interoperability and compatibility in a communication;
a LAN mode access through the at least one VPN tunnel;
at least one first VPN tunnel of the plurality of initial VPN tunnels between the PCVS and the PMG, and
at least one second VPN tunnel between the PCVS smart device client and the PMG through the PCVS.
24. A method for a connection mechanism between at least one private cloud VPN server (PCVS) smart device client and one of at least one private matter gateway (PMG) smart device client and at least one PMG network service through a public cloud network, the method comprising:
connecting to a PMG on demand between a PCVS smart device client of the at least one PCVS smart device client and the PMG through the PCVS; and
running a plurality of vertical peer-to-peer (P2P) private and secure PCVS smart device client applications between the at least one PCVS smart device client and one of the at least one PMG smart device client, the at least one PMG network service and another PCVS smart device client;
wherein the PCVS smart device client and the one of the at least one PMG smart device client, the at least one PMG network service and the another PCVS smart device client privately and securely communicates with each other through the public cloud network.
25. A non-transitory computer-readable medium storing executable instructions that, in response to execution, cause a computer to perform operations comprising:
setting up a private cloud VPN server (PCVS) and a PCVS smart device client in a client server relationship;
conducting to establish a plurality of initial VPN tunnels between the PCVS and a private matter gateway (PMG); and
conducting to connect to the PMG on demand between the PCVS smart device client and the PMG through the PCVS;
wherein the PCVS includes a PCVS_Device Utility on a public cloud network.
26. A non-transitory computer-readable medium storing executable instructions that, in response to execution, cause a computer to perform operations comprising:
setting up a private cloud VPN server (PCVS) and a private matter gateway (PMG) in a client server relationship;
conducting to pair and registration with the PCVS from the PMG;
conducting to establish a plurality of initial VPN tunnels between the PCVS and the PMG;
conducting to connect to the PMG on demand between a PCVS smart device client and the PMG through the PCVS; and
conducting to run a plurality of vertical peer-to-peer (P2P) private and secure PCVS smart device client applications between the at least one PCVS smart device client and one of the at least one PMG smart device client, at least one PMG network service and another PCVS smart device client.
27. A method for communication, the method comprising:
setting up at least one virtual machine server (VMS), at least one private cloud VPN server (PCVS), at least one PCVS smart device client on a side of the at least one PCVS to provide a plurality of cloud-based web services, at least one private matter gateway (PMG), and at least one PMG smart device client on a side of the at least one PMG in a client server relationship;
wherein the at least one VMS includes the at least one PCVS to provide the plurality of cloud-based web services;
wherein the at least one VMS and the at least one PCVS resides in a hyperscale data center, and the at least one PMG resides in a plurality of client's remote premises;
wherein the at least one VMS is scalable in quantity and size;
wherein at least one of the hyperscale datacenter or a service provider constructs and deploys a plurality of independent PCVSs in a plurality of corresponding VMS in order to service a plurality of corresponding PMG and a plurality of corresponding PMG smart device clients;
wherein a community pair of peer-to-peer (P2P) communication relationship between the at least one PCVS smart device client and the at least one PMG smart device client is constructed and deployed by an Internet platform owner that maintains the at least one VMS;
wherein the Internet platform owner offers to an individual subscriber to host the PCVS in the at least one VMS;
wherein the Internet platform owner offers to the individual subscriber a separate private and secure PMG to install the PMG in the subscriber's own LAN;
wherein a platform subscriber establishes from anywhere, a P2P communication between the at least one PCVS smart device client and the at least one PMG smart device client, residing on the subscriber's private and secure LAN.
28. A non-transitory computer-readable medium storing executable instructions that, in response to execution, cause a computer to perform operations comprising:
setting up at least one private matter gateway (PMG) smart device client and a private cloud virtual private network (VPN) server (PCVS) smart device client application in a client server relationship;
wherein the PCVS smart device client application includes an application Utility on a public cloud network;
wherein a functionality of the at least one PMG smart device client is defined by a class code sent to the PCVS smart device client application;
wherein the plurality of vendor-specific software modules or applications are loaded by the PCVS smart device client application to support a corresponding PMG smart device client of the at least one PMG smart device client from different manufacturers;
wherein a plurality of device classes of the at least one PMG smart device client include an audio, a video, a human interface device, an IP Camera, a Smart Lock, a Smart Lightbulb, a remote control, a thermostat, a printer, a mass storage, a Bluetooth, an application specific, and a vendor specific.</t>
  </si>
  <si>
    <t>H04L0063027200 | H04L0012463300 | H04L0012464100 | H04L0061251400 | H04L0061451100 | H04L0061500700 | H04L0061507600 | H04L0063083000 | H04L0063102000 | H04L0063123000 | H04L0063164000 | H04L0067020000 | H04L0067100000 | H04L0067100100 | H04L0067104000 | H04L0067120000</t>
  </si>
  <si>
    <t>H04L00940000 | H04L01246000</t>
  </si>
  <si>
    <t>US20220385638A1</t>
  </si>
  <si>
    <t>I-000232605967</t>
  </si>
  <si>
    <t>https://patentscout.innography.com/share/5Cu-_rQBQNf99Hyw-y7_oQ%3D%3D</t>
  </si>
  <si>
    <t>2022-05-03-ASSIGNMENT (PRIMES LAB INC.)|2022-06-09-INFORMATION ON STATUS: PATENT APPLICATION AND GRANTING PROCEDURE IN GENERAL</t>
  </si>
  <si>
    <t>https://patentscout.innography.com/share/5Cu-_rQBQNf99Hyw-y7_oQ%3D%3D/download</t>
  </si>
  <si>
    <t>https://ppubs.uspto.gov/pubwebapp/external.html?q=20220385638.pn.</t>
  </si>
  <si>
    <t>US20220385638 A1</t>
  </si>
  <si>
    <t>1. A method for a connection mechanism in a public cloud network, the method comprising:
setting up at least one public cloud portal (PCP), at least one virtual machine server (VMS), at least one PCP Admin Device, at least one private cloud virtual private network (VPN) server (PCVS), at least one VPN tunnel, and at least one PCVS smart device client on a side of the at least one PCVS to provide a plurality of cloud-based web services, at least one private metaverse (PM) which includes at least one private router, at least one private local area network (LAN), at least one private matter gateway (PMG), at least one PMG Admin Device, at least one PMG network service, and at least one PMG smart device client on a side of a PMG private LAN in a client server relationship;
acquiring a plurality of connection credentials from a PCP Admin Device of the at least one PCP Admin Device;
pairing and registration with a PCVS of the at least one PCVS from a PMG of the at least one PMG;
establishing a plurality of initial VPN tunnels between the PCVS and the PMG;
connecting to the PMG on demand between a PCVS smart device client of the at least one PCVS smart device client and the PMG through the PCVS; and
running a plurality of vertical peer-to-peer (P2P) private and secure PCVS smart device client applications between the at least one PCVS smart device client and one of the at least one PMG smart device client, the at least one PMG network service and another PCVS smart device client;
wherein the connection mechanism is a P2P private and secure connection mechanism between the at least one PCVS smart device client and at least one of the PMG, the at least one PMG smart device client, the at least one PMG network service or the another PCVS smart device client;
wherein the at least one PCP and the at least one VMS which includes the at least one PCVS reside in a hyperscale data center located on the public cloud network;
wherein the at least one PM along with the at least one PMG reside in a plurality of client's remote premises.</t>
  </si>
  <si>
    <t>24. A method for a connection mechanism between at least one private cloud VPN server (PCVS) smart device client and one of at least one private matter gateway (PMG) smart device client and at least one PMG network service through a public cloud network, the method comprising:
connecting to a PMG on demand between a PCVS smart device client of the at least one PCVS smart device client and the PMG through the PCVS; and
running a plurality of vertical peer-to-peer (P2P) private and secure PCVS smart device client applications between the at least one PCVS smart device client and one of the at least one PMG smart device client, the at least one PMG network service and another PCVS smart device client;
wherein the PCVS smart device client and the one of the at least one PMG smart device client, the at least one PMG network service and the another PCVS smart device client privately and securely communicates with each other through the public cloud network.</t>
  </si>
  <si>
    <t>25. A non-transitory computer-readable medium storing executable instructions that, in response to execution, cause a computer to perform operations comprising:
setting up a private cloud VPN server (PCVS) and a PCVS smart device client in a client server relationship;
conducting to establish a plurality of initial VPN tunnels between the PCVS and a private matter gateway (PMG); and
conducting to connect to the PMG on demand between the PCVS smart device client and the PMG through the PCVS;
wherein the PCVS includes a PCVS_Device Utility on a public cloud network.</t>
  </si>
  <si>
    <t>26. A non-transitory computer-readable medium storing executable instructions that, in response to execution, cause a computer to perform operations comprising:
setting up a private cloud VPN server (PCVS) and a private matter gateway (PMG) in a client server relationship;
conducting to pair and registration with the PCVS from the PMG;
conducting to establish a plurality of initial VPN tunnels between the PCVS and the PMG;
conducting to connect to the PMG on demand between a PCVS smart device client and the PMG through the PCVS; and
conducting to run a plurality of vertical peer-to-peer (P2P) private and secure PCVS smart device client applications between the at least one PCVS smart device client and one of the at least one PMG smart device client, at least one PMG network service and another PCVS smart device client.</t>
  </si>
  <si>
    <t>27. A method for communication, the method comprising:
setting up at least one virtual machine server (VMS), at least one private cloud VPN server (PCVS), at least one PCVS smart device client on a side of the at least one PCVS to provide a plurality of cloud-based web services, at least one private matter gateway (PMG), and at least one PMG smart device client on a side of the at least one PMG in a client server relationship;
wherein the at least one VMS includes the at least one PCVS to provide the plurality of cloud-based web services;
wherein the at least one VMS and the at least one PCVS resides in a hyperscale data center, and the at least one PMG resides in a plurality of client's remote premises;
wherein the at least one VMS is scalable in quantity and size;
wherein at least one of the hyperscale datacenter or a service provider constructs and deploys a plurality of independent PCVSs in a plurality of corresponding VMS in order to service a plurality of corresponding PMG and a plurality of corresponding PMG smart device clients;
wherein a community pair of peer-to-peer (P2P) communication relationship between the at least one PCVS smart device client and the at least one PMG smart device client is constructed and deployed by an Internet platform owner that maintains the at least one VMS;
wherein the Internet platform owner offers to an individual subscriber to host the PCVS in the at least one VMS;
wherein the Internet platform owner offers to the individual subscriber a separate private and secure PMG to install the PMG in the subscriber's own LAN;
wherein a platform subscriber establishes from anywhere, a P2P communication between the at least one PCVS smart device client and the at least one PMG smart device client, residing on the subscriber's private and secure LAN.</t>
  </si>
  <si>
    <t>28. A non-transitory computer-readable medium storing executable instructions that, in response to execution, cause a computer to perform operations comprising:
setting up at least one private matter gateway (PMG) smart device client and a private cloud virtual private network (VPN) server (PCVS) smart device client application in a client server relationship;
wherein the PCVS smart device client application includes an application Utility on a public cloud network;
wherein a functionality of the at least one PMG smart device client is defined by a class code sent to the PCVS smart device client application;
wherein the plurality of vendor-specific software modules or applications are loaded by the PCVS smart device client application to support a corresponding PMG smart device client of the at least one PMG smart device client from different manufacturers;
wherein a plurality of device classes of the at least one PMG smart device client include an audio, a video, a human interface device, an IP Camera, a Smart Lock, a Smart Lightbulb, a remote control, a thermostat, a printer, a mass storage, a Bluetooth, an application specific, and a vendor specific.</t>
  </si>
  <si>
    <t>2022-08-09</t>
  </si>
  <si>
    <t>The invention claims face recognition system based on universe comprising a multi-point distance storage module a measuring period sensing module an identification triggering module a necessity judging module a universe system the multi-point distance storage module is electrically connected with the identification triggering module the identification triggering module is electrically connected with the necessity judging module the universe system comprises a somatosensory sensor face recognition face identifying module is electrically connected with the identification triggering module the measuring time sensing module is electrically connected with the somatosensory sensor; the multi-point distance storage module is used for storing space orientation coordinate commonly used for interaction the measuring time period sensing module is used for sensing whether it is necessary to use the face function through the orientation of the user the necessity judging module is used for judging whether the expression change of the current user is enough to use the face recognition function the invention has strong characteristics.</t>
  </si>
  <si>
    <t>An element-based universe-based face recognition</t>
  </si>
  <si>
    <t>Mao Chenglei</t>
  </si>
  <si>
    <t>CN202210537165A</t>
  </si>
  <si>
    <t>1. A meta-universe-based face recognition system, wherein comprising a multi-point distance storage module, a measuring period sensing module, an identification triggering module, a necessity judging module, a universe system, the multi-point distance storage module is electrically connected with the identification triggering module, the identification triggering module is electrically connected with the necessity judging module, the universe system comprises a somatosensory sensor, face recognition face identifying module is electrically connected with the identification triggering module, the measuring time sensing module is electrically connected with the somatosensory sensor; the multi-point distance storage module is used for storing space orientation coordinate commonly used for interaction, the measurement period sensing module is used for sensing whether it is necessary to use the face function through the orientation of the user, the identification trigger module is used for triggering the function of the identification face the necessity judging module is used for judging whether the expression change of the current user is sufficient to use the face recognition function, the universe system is used for realizing virtual reality interaction, the somatosensory sensor is used for detecting the orientation information of each part of the user body the face identifying module is used for reading the micro-expression data of the face</t>
  </si>
  <si>
    <t>1. A meta-universe-based face recognition system, wherein comprising a multi-point distance storage module, a measuring period sensing module, an identification triggering module, a necessity judging module, a universe system, the multi-point distance storage module is electrically connected with the identification triggering module, the identification triggering module is electrically connected with the necessity judging module, the universe system comprises a somatosensory sensor, face recognition face identifying module is electrically connected with the identification triggering module, the measuring time sensing module is electrically connected with the somatosensory sensor; the multi-point distance storage module is used for storing space orientation coordinate commonly used for interaction, the measurement period sensing module is used for sensing whether it is necessary to use the face function through the orientation of the user, the identification trigger module is used for triggering the function of the identification face the necessity judging module is used for judging whether the expression change of the current user is sufficient to use the face recognition function, the universe system is used for realizing virtual reality interaction, the somatosensory sensor is used for detecting the orientation information of each part of the user body the face identifying module is used for reading the micro-expression data of the face2. The system face recognition on metaverse according to claim 1, wherein The working process of the system comprises the following working steps: S1, pre-establishing a multi-point distance storage module, the multi-point distance storage module is used for storing the space orientation frequently reserved by human body and the remaining average time in the corresponding space orientation; S2, when the human body starts to act, monitoring the wireless message sent by the somatosensory sensor, when the strength index of the wireless message at a certain time is less than the intensity critical point, measuring the strength index of the wireless message at the next moment, if the strength index of the wireless message at the next moment is less than the strength index of the wireless message at the last moment, judging that it can face at this time, otherwise, closing the face S3. detecting the wireless message strength index less than the duration of the intensity critical point, if the duration is greater than or equal to the duration critical point, closing the face identifying module, and measuring the expression change degree Tc and the expression change degree Tb before, if the difference between the micro-expression Tc and the micro-expression Tb is greater than or equal to the micro-expression difference critical point, starting to perform the face S4, analyzing the orientation data and the surrounding environment information of the human body and controlling the face identifying module to work, identifying the microexpression of the face and carrying out the expression fitting of the face3. The Yuanzhou-based face recognition according to claim 2, wherein the measuring period sensing module is used for monitoring the wireless message sent by the somatosensory sensor when the person uses the universe system, when the intensity index of the wireless message detected to a certain time point is lower than the intensity critical point, measuring the intensity index of the wireless message at the next time point, if the strength index of the wireless message at the next time point is lower than the strength index of the wireless message at the previous time point, so that the measurement period sensing module receives the strength index of the wireless message strength index lower than the intensity critical point, and comparing it with the delay time critical point, when the delay time is higher than the delay time critical point, enabling the identification triggering module to face recognition the function of the universe system; and the necessity determination module measures the current expression change degree Tc in the user and the expression change degree Tb before, when the difference between the expression change degree Tc and the expression change degree Tb is higher than the expression change degree difference critical point, analyzing the expression data and action information of the user and then transmitting to the universe system of the user.4. The system face recognition on metaverse according to claim 3, wherein the necessity determination module comprises a human body coordinate detection module, a human body orientation residence statistics module and a specific index measurement module, the human body coordinate detection module is electrically connected with the somatosensory sensor; the human body orientation residence statistics module is electrically connected with the measurement period sensing module; the human body coordinate detection module is used for detecting the current space orientation of the human body, when the current space orientation of the human body belongs to the orientation in the multi-point distance storage module, the human body orientation residence statistics module works, when the current space orientation of the human body is the orientation other than the multi-point distance storage module, so that the specific index measuring module works, the human body orientation residence statistics module is used for detecting the human body in the current space orientation storage time, when the retention time is greater than the critical residence time, the identification trigger module starts the face identification module, and the critical retention time is less than the remaining average time.5. The system face recognition on metaverse according to claim 4, wherein the specific index measuring module comprises a space cutting module, a position keeping time measuring module, a far and near degree fitting module, a position keeping time measuring module, a position keeping time enumerating module, a position keeping time control module, a main quantization index module and a secondary quantization index module, the space cutting module is electrically connected with the near degree fitting module; the space cutting module takes the current position of the human body as the starting point, taking the initial distance as the side length to scribe a rectangular block, dividing the rectangular block into several rectangular blocks with the same volume, the position holding time measuring module is used for measuring the position holding time information of the human body in each rectangular block, the far-near degree fitting module is used for measuring the approximate value of the distance accumulation between the position coordinate measuring points of the human body in each rectangular block, and then calculating the quantization index W of the distance target of a certain rectangular block, W = (L-Lmin)/(Lmax-Lmin); wherein L is the distance accumulated between each position measuring point in the current rectangular block divided by the approximate value of the measuring point number, Lmin is the minimum value of the distance between each position measuring point in all rectangular blocks, Lmax is the maximum value of the distance between each position measuring point in all rectangular block, when W is smaller, the distance between the position coordinate measuring points of the current rectangular block body is smaller, at this time, it is easier to identify the expression of the face, when identifying the face, the centre of the connecting line of the position coordinate measuring point of the two human bodies is taken as the key measuring point face the identification, when W becomes larger than a certain value, judging that it is not suitable as the face of the identification, stopping the face.6. The face recognition system based on universe according to claim 5, wherein the position holding time measuring module is used for calculating the position of a rectangular block holding time quantization index S, because the person will cause the position coordinate measuring point of the human body is occupied when other important action, so it needs to be combined with the idle number of the position coordinate measuring point of the human body to determine whether to face the function of the identification function : S=alpha * (1-W) *n/x + beta * Q0/Q1; at the same time, n is the number of all human body position measuring points of the current rectangular block, x is the sum of the human body position measuring points in all rectangular blocks, W is the quantization index of the distance of the current rectangular block, Q0 is the non-working point number accumulation in each position measuring point of the current rectangular block, Q1 is all position number accumulation of all position measuring point of all rectangular block, α, β is the distance coefficient and non-working point bit coefficient, wherein α + β = 1, according to the actual need, when more than the distance far and near sensing, α is larger, when more than the action idle degree sensing, β is larger; the each rectangular block for face reference index according to the order from small to large, setting the user of the rectangular block is to be determined square block; when the position of a certain rectangular body holding time quantization index S is larger, indicating that the rectangular block is suitable for performing the face7. The system face recognition to claim 6, wherein the system is a system based on the meta-universe. the position holding time control module compares the position holding time of the block to be compared with the approximate value of the position holding time of all rectangular blocks, when the position holding time of the block to be compared is less than or equal to the average of the position holding time of all rectangular blocks, so that the main quantization index module monitors the micro-expression change on the human face, when monitoring the micro-expression Tb on the human face at a certain time satisfy the following condition triggers the function of the face D1, calculating when satisfy | Tb-Tc |/| Tc | is greater than or equal to the micro-expression change critical point, the universe system starting the face identifying module starts face, wherein the critical point is set according to the actual requirement; D2. when the position holding time of the block to be compared is greater than the approximate value of the position holding time of all rectangular blocks, so that the secondary quantization index module detects the average position holding time Ht of all positions holding time in the block to be compared, when the position holding time of the human body is greater than or equal to γ * Ht, judging the human body and no other obvious limb action, the face expression change is important, starting the face identifying module, at the same time, γ is not less than 0.5.8. The system face recognition to claim 7, wherein the system is a system based on the meta-universe. the face identifying module comprises other interference eliminating module, the other interference eliminating module takes the position of the human body as the circle centre, taking the second length R as the radius, dividing a fan-shaped area, detecting whether there is other human body in the fan-shaped area, if there is other human body, judging the human to interact with other people, improving the micro-expression change critical point, shielding the human face micro-expression information at this time.</t>
  </si>
  <si>
    <t>Mao, Chenglei</t>
  </si>
  <si>
    <t>G06V0040174000</t>
  </si>
  <si>
    <t>G06V0040174000 | H04B0017318000 | Y02D0030700000</t>
  </si>
  <si>
    <t>G06V04016000</t>
  </si>
  <si>
    <t>G06V04016000 | H04B01731800</t>
  </si>
  <si>
    <t>CN114882563A</t>
  </si>
  <si>
    <t>CN114882563 A</t>
  </si>
  <si>
    <t>I-000228665211</t>
  </si>
  <si>
    <t>https://patentscout.innography.com/share/RIwxnRVt8BDEQUWtQFSkCA%3D%3D</t>
  </si>
  <si>
    <t>2022-08-09-PUBLICATION|2022-08-26-ENTRY INTO FORCE OF REQUEST FOR SUBSTANTIVE EXAMINATION</t>
  </si>
  <si>
    <t>https://patentscout.innography.com/share/RIwxnRVt8BDEQUWtQFSkCA%3D%3D/download</t>
  </si>
  <si>
    <t>https://v3.espacenet.com/publicationDetails/biblio?CC=CN&amp;NR=114882563A&amp;KC=A&amp;FT=D&amp;date=20220809&amp;DB=EPODOC&amp;locale=</t>
  </si>
  <si>
    <t>1.  1.  A meta-universe-based face recognition system, wherein comprising a multi-point distance storage module, a measuring period sensing module, an identification triggering module, a necessity judging module, a universe system, the multi-point distance storage module is electrically connected with the identification triggering module, the identification triggering module is electrically connected with the necessity judging module, the universe system comprises a somatosensory sensor, face recognition face identifying module is electrically connected with the identification triggering module, the measuring time sensing module is electrically connected with the somatosensory sensor; the multi-point distance storage module is used for storing space orientation coordinate commonly used for interaction, the measurement period sensing module is used for sensing whether it is necessary to use the face function through the orientation of the user, the identification trigger module is used for triggering the function of the identification face the necessity judging module is used for judging whether the expression change of the current user is sufficient to use the face recognition function, the universe system is used for realizing virtual reality interaction, the somatosensory sensor is used for detecting the orientation information of each part of the user body the face identifying module is used for reading the micro-expression data of the face</t>
  </si>
  <si>
    <t>CN104881815 B | CN105183567 B | CN108563830 A | CN109409784 A | CN114003095 A | CN114519511 A | GB905093 A | US20160123120 A1 | US20180004868 A1 | US20200162260 A1 | US20210055442 A1</t>
  </si>
  <si>
    <t>2022-07-28</t>
  </si>
  <si>
    <t>The invention claims a reservoir numerical simulation system based on universe belonging to the technical field of oil and gas field development the reservoir numerical simulation system comprises an oil field virtual model node a user terminal and a developer terminal; the user terminal is used for storing the original oil deposit data to the shared storage pool of the block chain; the oil field virtual model node is used for constructing the initial oil field virtual model according to the original oil reservoir and initial oil field virtual model for reservoir numerical simulation simulation to obtain the simulation oil field virtual model and storing the simulation oil field virtual model to the shared storage pool; the developer terminal is used for obtaining the simulation oil field virtual model from the shared storage pool and according to the simulation oil field virtual model making oil field development solution storing the oil field development solution to the shared storage pool the user terminal is further used for obtaining oil field development solution from the shared storage pool. providing a large data sharing platform for reservoir simulation improving the development efficiency of the oil field development solution.</t>
  </si>
  <si>
    <t>A reservoir numerical simulation system based on universe</t>
  </si>
  <si>
    <t>China University Of Petroleum (east China)</t>
  </si>
  <si>
    <t>China University Of Petroleum</t>
  </si>
  <si>
    <t>CN202210893929A</t>
  </si>
  <si>
    <t>1. A reservoir numerical simulation system based on universe, wherein the reservoir numerical simulation system based on universe comprises: oil field virtual model node, user terminal and developer terminal; the oil field virtual model node, the user terminal and the developer terminal are nodes in the block chain; the user terminal is used for storing the original oil deposit data to the shared storage pool of the block chain; the oil field virtual model node is used for constructing the initial oil field virtual model, and obtaining the original oil reservoir data from the shared storage pool, according to the original oil reservoir and the initial oil field virtual model for reservoir numerical simulation simulation, obtaining the simulation oil field virtual model, and storing the simulation oil field virtual model in the shared storage pool; the simulation oil field virtual model represents the flow state of the fluid in the actual physical environment in the oil field development process; the developer terminal is used for obtaining the simulation oil field virtual model from the shared storage pool, and according to the simulation oil field virtual model, making oil field development scheme, storing the oil field development scheme in the shared storage pool; the user terminal is further used for obtaining oil field development solution from the shared storage pool.</t>
  </si>
  <si>
    <t>1. A reservoir numerical simulation system based on universe, wherein the reservoir numerical simulation system based on universe comprises: oil field virtual model node, user terminal and developer terminal; the oil field virtual model node, the user terminal and the developer terminal are nodes in the block chain; the user terminal is used for storing the original oil deposit data to the shared storage pool of the block chain; the oil field virtual model node is used for constructing the initial oil field virtual model, and obtaining the original oil reservoir data from the shared storage pool, according to the original oil reservoir and the initial oil field virtual model for reservoir numerical simulation simulation, obtaining the simulation oil field virtual model, and storing the simulation oil field virtual model in the shared storage pool; the simulation oil field virtual model represents the flow state of the fluid in the actual physical environment in the oil field development process; the developer terminal is used for obtaining the simulation oil field virtual model from the shared storage pool, and according to the simulation oil field virtual model, making oil field development scheme, storing the oil field development scheme in the shared storage pool; the user terminal is further used for obtaining oil field development solution from the shared storage pool.2. The reservoir numerical simulation system based on metaverse according to claim 1, wherein the user terminal comprises: a first original oil reservoir data obtaining unit, for obtaining the original oil reservoir data; an encryption unit, connected with the first original oil reservoir data obtaining unit, for obtaining the user private key from the intelligent contract of the block chain, and using the user private key to encrypt the original oil reservoir data, obtaining the encrypted data; a storage unit, connected with the encryption unit, for storing the encrypted data in the shared storage pool of the block chain.3. The reservoir numerical simulation system based on metaverse according to claim 1, wherein the original oil reservoir data comprises: formation information, well information and ground information; the initial oil field virtual model comprises initial stratum virtual model, initial well virtual model and initial ground virtual model; the simulation oil field virtual model comprises simulation stratum virtual model, simulation well virtual model and simulation ground virtual model; the oil field virtual model node comprises: initial model constructing unit, used for using three-dimensional modeling engine and physical engine, according to the size of the oil field terrain in reality, underground rock and rock type distribution condition, constructing initial oil field virtual model; a second original oil reservoir data obtaining unit, used for obtaining the original oil reservoir data from the shared storage pool; reservoir stratum virtual model unit, connected with the initial model construction unit and the second original oil reservoir data obtaining unit, for according to the reservoir stratum information and the initial stratum virtual model, simulating underground crude oil distribution and flow state in the oil field development process, obtaining the simulation stratum virtual model; a wellbore virtual model unit, connected with the initial model constructing unit and the second original oil reservoir data obtaining unit, for simulating the multi-phase flow state in the wellbore according to the wellbore information and the initial wellbore virtual model, obtaining the simulated wellbore virtual model; a ground virtual model unit, connected with the initial model building unit and the second original oil reservoir data obtaining unit, for according to the ground information and the initial ground virtual model, simulating the flow state of the simulated oil-gas water reaching the ground, obtaining the simulated ground virtual model.4. The reservoir numerical simulation system based on the meta-universe according to claim 3, wherein the stratum information comprises stratum non-homogeneity, porosity, oil saturation, temperature and pressure.5. The reservoir numerical simulation system based on metaverse according to claim 3, wherein the initial oil field virtual model and the simulation oil field virtual model are three-dimensional models.6. The reservoir numerical simulation system based on the meta-space according to claim 3, wherein the initial oil field virtual model is constructed based on the digital twinning method.7. The reservoir numerical simulation system based on metaverse according to claim 3, wherein the second original oil reservoir data obtaining unit comprises: a public key obtaining unit, for obtaining the user public key from the intelligent contract of the block chain; an encrypted data obtaining unit, for obtaining encrypted data from the shared storage pool; a decryption unit, and a public key obtaining unit, an encrypted data obtaining unit and a reservoir stratum virtual model unit connected, for using the user public key to decrypt the encrypted data, obtaining the original oil reservoir data.8. The reservoir numerical simulation system based on meta-universe according to claim 1, wherein the user terminal and the developer terminal are provided with virtual reality device; the user terminal and the developer terminal observing the simulation oil field virtual model under the first viewing angle through the virtual reality device.9. The reservoir numerical simulation system based on metaverse according to claim 8, wherein the oil field virtual model node further comprises a translation unit. the user terminal and the developer terminal through virtual reality device in the simulation oil field virtual model for real time interaction; the translation unit is used for converting the voice or character input by the user terminal and/or the developer terminal into the appointed language.10. The oil pool numerical simulation system based on metaverse according to claim 1, wherein the hardware of the oil field virtual model node is a super computer.</t>
  </si>
  <si>
    <t>Geng, Mingrui|Zhou, Zhiwei|Wang, Sen</t>
  </si>
  <si>
    <t>CN115099068 B</t>
  </si>
  <si>
    <t>G06F03020000 | G06F11110000 | G06Q05002000 | G06T01700000</t>
  </si>
  <si>
    <t>CN115099068A|CN115099068B</t>
  </si>
  <si>
    <t>CN115099068 A | CN115099068 B</t>
  </si>
  <si>
    <t>I-000230141351</t>
  </si>
  <si>
    <t>Application expired due to grant (CN115099068 B)</t>
  </si>
  <si>
    <t>https://patentscout.innography.com/share/4E4IX_UIAiOzdtli2h_tBw%3D%3D</t>
  </si>
  <si>
    <t>2022-09-23-PUBLICATION|2022-10-14-ENTRY INTO FORCE OF REQUEST FOR SUBSTANTIVE EXAMINATION|2022-11-04-PATENT GRANT</t>
  </si>
  <si>
    <t>https://patentscout.innography.com/share/4E4IX_UIAiOzdtli2h_tBw%3D%3D/download</t>
  </si>
  <si>
    <t>https://v3.espacenet.com/publicationDetails/biblio?CC=CN&amp;NR=115099068A&amp;KC=A&amp;FT=D&amp;date=20220923&amp;DB=EPODOC&amp;locale=</t>
  </si>
  <si>
    <t>CN115099068 A</t>
  </si>
  <si>
    <t>1.  1.  A reservoir numerical simulation system based on universe, wherein the reservoir numerical simulation system based on universe comprises: oil field virtual model node, user terminal and developer terminal; the oil field virtual model node, the user terminal and the developer terminal are nodes in the block chain; the user terminal is used for storing the original oil deposit data to the shared storage pool of the block chain; the oil field virtual model node is used for constructing the initial oil field virtual model, and obtaining the original oil reservoir data from the shared storage pool, according to the original oil reservoir and the initial oil field virtual model for reservoir numerical simulation simulation, obtaining the simulation oil field virtual model, and storing the simulation oil field virtual model in the shared storage pool; the simulation oil field virtual model represents the flow state of the fluid in the actual physical environment in the oil field development process; the developer terminal is used for obtaining the simulation oil field virtual model from the shared storage pool, and according to the simulation oil field virtual model, making oil field development scheme, storing the oil field development scheme in the shared storage pool; the user terminal is further used for obtaining oil field development solution from the shared storage pool.</t>
  </si>
  <si>
    <t>oil field|virtual model|storage pool|original oil</t>
  </si>
  <si>
    <t>20 years from 2022-07-27 (the day prior to the file date)</t>
  </si>
  <si>
    <t>https://patentscout.innography.com/share/Pb89U0OYYSzDA2HsTvlWvQ%3D%3D</t>
  </si>
  <si>
    <t>https://patentscout.innography.com/share/Pb89U0OYYSzDA2HsTvlWvQ%3D%3D/download</t>
  </si>
  <si>
    <t>https://v3.espacenet.com/publicationDetails/biblio?CC=CN&amp;NR=115099068B&amp;KC=B&amp;FT=D&amp;date=20221104&amp;DB=EPODOC&amp;locale=</t>
  </si>
  <si>
    <t>2020-04-01</t>
  </si>
  <si>
    <t>2040-04-01</t>
  </si>
  <si>
    <t>An artificial intelligence system for analyzing imagery the system comprising a computing device the computing device designed and configured to receive a plurality of photographs related to a human subject; analyze the plurality of photographs to identify a conditional indicator contained within the plurality of photographs; generate a classification algorithm utilizing the conditional indicator wherein the classification algorithm utilizes the conditional indicator as an input and outputs a conditional profile; and determine a conditional status of the human subject utilizing the conditional profile.</t>
  </si>
  <si>
    <t>Artificial intelligence methods and systems for analyzing imagery</t>
  </si>
  <si>
    <t>Kpn Innovations, LLC.</t>
  </si>
  <si>
    <t>Kpn Innovations, LLC</t>
  </si>
  <si>
    <t>KPN Innovations, LLC</t>
  </si>
  <si>
    <t>US17/892894</t>
  </si>
  <si>
    <t xml:space="preserve">An artificial intelligence apparatus for analyzing imagery, the apparatus comprising:
at least a processor; and
a memory connectively connected to the at least a processor, the memory containing instructions configuring the at least a processor to:
receive a plurality of photographs from a social networking platform and the metaverse related to a human subject;
analyze the plurality of photographs to identify a conditional indicator, based on entries contained within an expert database;
generate a classification process, wherein the classification process utilizes the conditional indicator as an input and outputs a conditional profile; and
determine a conditional status of the human subject as a function of the conditional profile.
</t>
  </si>
  <si>
    <t>1. An artificial intelligence apparatus for analyzing imagery, the apparatus comprising:
at least a processor; and
a memory connectively connected to the at least a processor, the memory containing instructions configuring the at least a processor to:
receive a plurality of photographs from a social networking platform and the metaverse related to a human subject;
analyze the plurality of photographs to identify a conditional indicator, based on entries contained within an expert database;
generate a classification process, wherein the classification process utilizes the conditional indicator as an input and outputs a conditional profile; and
determine a conditional status of the human subject as a function of the conditional profile.
2. The apparatus of claim 1, wherein:
the memory contains instructions further configuring the processor to receive a wireless transmission from a remote device containing a second plurality of photographs related to the human subject; and
analyzing the plurality of photographs to identify the conditional indicator comprises analyzing the second plurality of photographs to identify the conditional indicator.
3. The apparatus of claim 1, wherein the plurality of photographs is obtained from a remote device.
4. The apparatus of claim 1, wherein the conditional indicator identifies nutritional behaviors of human the subject.
5. The apparatus of claim 1, wherein the processor receives a plurality of videos from the metaverse.
6. The apparatus of claim 1, wherein the plurality of photographs is retrieved from a first social networking platform but not a second social networking platform.
7. The apparatus of claim 1, wherein the memory contains instructions further configuring the processor to:
calculate a machine-learning process, wherein the machine-learning process utilizes the conditional profile as an input and outputs the conditional status; and
determine the conditional status of the human subject as a function of the machine-learning process.
8. The apparatus of claim 1, wherein the metaverse inputs generate a conditional profile.
9. The apparatus of claim 1, wherein a plurality of photographs is obtained from social media platforms utilizing a data scarping technique.
10. The apparatus of claim 1, wherein the memory contains instructions further configuring the processor to:
transmit the conditional status of the human subject to a remote device operated by an informed advisor;
receive an input submitted to the remote device in response to the conditional status of the human subject; and
update the conditional status utilizing the input.
11. An artificial intelligence method of analyzing imagery, the method comprising:
receiving, by a processor, a plurality of photographs from a social networking platform and the metaverse related to a human subject;
analyzing, by the processor, the plurality of photographs to identify a conditional indicator based on input contained within an expert database
generating, by the processor, a classification process utilizing the conditional indicator, wherein the classification process utilizes the conditional indicator as an input and outputs a conditional profile; and
determining, by the processor, a conditional status of the human subject as a function of the conditional profile.
12. The method of claim 11, wherein:
the method further comprises receiving, by the processor, a wireless transmission from a remote device containing a second plurality of photographs related to the human subject; and
analyzing the plurality of photographs to identify the conditional indicator comprises analyzing the second plurality of photographs to identify the conditional indicator.
13. The method of claim 11, wherein the plurality of photographs is obtained from a remote device.
14. The method of claim 11, wherein the conditional indicator identifies nutritional behaviors of the human subject.
15. The method of claim 11, wherein the processor receives a plurality of videos from the metaverse.
16. The method of claim 11, wherein the plurality of photographs is retrieved from a first social networking platform but not a second social networking platform.
17. The method of claim 11, further comprising:
calculating, by the processor, a machine-learning process, wherein the machine-learning process utilizes the conditional profile as an input and outputs the conditional status; and
determining, by the processor, the conditional status of the human subject as a function of the machine-learning process.
18. The method of claim 11, wherein the metaverse inputs generate a conditional profile.
19. The method of claim 11, wherein a plurality of photographs is obtained from social media platforms utilizing a data scraping technique.
20. The method of claim 11, further comprising:
transmitting, by the processor, the conditional status of the human subject to a remote device operated by an informed advisor;
receiving, by the processor, an input submitted to the remote device in response to the conditional status of the human subject; and
updating, by the processor, the conditional status utilizing the input.</t>
  </si>
  <si>
    <t>Neumann, Kenneth</t>
  </si>
  <si>
    <t>G06T0007001200</t>
  </si>
  <si>
    <t>G06T0007001200 | G06N0005040000 | G06N0020000000 | G06T2207200810 | G06T2207300080 | G06T2207300160 | G06T2207301010</t>
  </si>
  <si>
    <t>G06T00700000</t>
  </si>
  <si>
    <t>G06T00700000 | G06N00504000 | G06N02000000</t>
  </si>
  <si>
    <t>US20220398730A1</t>
  </si>
  <si>
    <t>US20210312611 A1 | US11443424 B2 | US20220392067 A1 | US20220398730 A1</t>
  </si>
  <si>
    <t>I-000233124932</t>
  </si>
  <si>
    <t>20 years from 2020-04-01 (file date of patent US11443424)</t>
  </si>
  <si>
    <t>https://patentscout.innography.com/share/b3fB-_HOsRH3vDIVtuqDGg%3D%3D</t>
  </si>
  <si>
    <t>2022-09-05-INFORMATION ON STATUS: PATENT APPLICATION AND GRANTING PROCEDURE IN GENERAL</t>
  </si>
  <si>
    <t>https://patentscout.innography.com/share/b3fB-_HOsRH3vDIVtuqDGg%3D%3D/download</t>
  </si>
  <si>
    <t>https://ppubs.uspto.gov/pubwebapp/external.html?q=20220398730.pn.</t>
  </si>
  <si>
    <t>US20220398730 A1</t>
  </si>
  <si>
    <t>US20210312611 A1</t>
  </si>
  <si>
    <t>1. An artificial intelligence apparatus for analyzing imagery, the apparatus comprising:
at least a processor; and
a memory connectively connected to the at least a processor, the memory containing instructions configuring the at least a processor to:
receive a plurality of photographs from a social networking platform and the metaverse related to a human subject;
analyze the plurality of photographs to identify a conditional indicator, based on entries contained within an expert database;
generate a classification process, wherein the classification process utilizes the conditional indicator as an input and outputs a conditional profile; and
determine a conditional status of the human subject as a function of the conditional profile.</t>
  </si>
  <si>
    <t>11. An artificial intelligence method of analyzing imagery, the method comprising:
receiving, by a processor, a plurality of photographs from a social networking platform and the metaverse related to a human subject;
analyzing, by the processor, the plurality of photographs to identify a conditional indicator based on input contained within an expert database
generating, by the processor, a classification process utilizing the conditional indicator, wherein the classification process utilizes the conditional indicator as an input and outputs a conditional profile; and
determining, by the processor, a conditional status of the human subject as a function of the conditional profile.</t>
  </si>
  <si>
    <t>US20030216962 A1 | US20040172267 A1 | US20040242321 A1 | US20060230058 A1</t>
  </si>
  <si>
    <t>US9586145 B2 | US9671942 B2 | US9697500 B2 | US9875580 B2 | US9878240 B2 | US9919213 B2 | US10004991 B2 | US10010791 B2 | US10156970 B2 | US10589175 B2 | US10744412 B2 | US10761699 B2 | US11077371 B2 | US8819009 B2 | US8838729 B2 | US8864576 B2 | US8893047 B2 | US8920242 B2 | US20150018084 A1 | US8979538 B2 | US8992314 B2 | WO2015020619 A1 | US9286367 B2 | US9412191 B2 | US9477574 B2 | US20170014718 A1 | US8595631 B2 | US8626771 B2 | US8645846 B2 | US20100331064 A1 | US20100331075 A1 | US20110032602 A1 | US20110032603 A1 | US20110032604 A1 | US20110113382 A1 | US20110276925 A1 | WO2012023050 A2 | US8130219 B2 | US20120064976 A1 | US20120143693 A1 | US20090158161 A1 | US20090210797 A1 | US20090210812 A1 | US20090234828 A1 | US7822753 B2 | US20100306663 A1 | US20050221898 A1 | US20050209007 A1 | US20080303829 A1 | US20080303830 A1 | US20080309675 A1 | US20080309677 A1 | US20080316227 A1 | US20090006434 A1 | US20090006577 A1</t>
  </si>
  <si>
    <t>2008-06-19</t>
  </si>
  <si>
    <t>2006-12-15</t>
  </si>
  <si>
    <t>2007-02-27</t>
  </si>
  <si>
    <t>2010-05-06</t>
  </si>
  <si>
    <t>A system and method for multiplayer computerized game environment with non-intrusive co-presented computerized ratings. A plurality of users of the multiplayer gaming environment is identified. Users may interact with a computerized entity via a display and computerized controls associated with that display. Ratable computerized entities in the game environment and corresponding ratings are accessible by way of the display and computerized controls. Computerized rating controls are provided to be co-presented on the display with the ratable computerized entity. The rating controls allow each participant of a rating service to submit computerized rating information about the ratable entity without substantially disrupting said participant&amp;#39;s observation of and interaction with the ratable computerized entity in the gaming environment.</t>
  </si>
  <si>
    <t>System and method for multiplayer computerized game environment with non-intrusive, co-presented computerized ratings</t>
  </si>
  <si>
    <t>multiplayer|uniquely identifiable|uniquely</t>
  </si>
  <si>
    <t>Ratepoint, Inc.</t>
  </si>
  <si>
    <t>Ratepoint, Inc., Massachusetts</t>
  </si>
  <si>
    <t>Rowan Michael J; Bailey Christopher T M; Chen Kefeng; Creighton Neal Lewis</t>
  </si>
  <si>
    <t>US11/711248</t>
  </si>
  <si>
    <t>BRANDON RAMON GRAY</t>
  </si>
  <si>
    <t>3714: Amusement and Education Devices</t>
  </si>
  <si>
    <t xml:space="preserve">A method of rating entities in a multiplayer computerized game comprising:
identifying a plurality of users of the multiplayer computerized game wherein each of said plurality of users is in networked communication with at least one other user of the multiplayer game, interacts with at least one other player of the game and interacts with the multiplayer game via a user display;
identifying a plurality of ratable uniquely identifiable computerized entities in the game with which at least one of said plurality of users may interact, wherein said plurality of users interact with the ratable uniquely identifiable computerized entities in the game by way of said user display;
storing computerized rating information provided by users of the game about said plurality of ratable uniquely identifiable computerized entities in the game in a computer-readable medium;
presenting the computerized rating information, said rating information to be co-presented on the user display with the ratable uniquely identifiable computerized entities such that the user may view computerized rating information and have substantially continuous, uninterrupted access to and interaction with said ratable uniquely identifiable computerized entities, wherein said rating information includes an aggregate rating that is a function of ratings provided by users of the game.
</t>
  </si>
  <si>
    <t>1. A method of rating entities in a multiplayer computerized game comprising:
identifying a plurality of users of the multiplayer computerized game wherein each of said plurality of users is in networked communication with at least one other user of the multiplayer game, interacts with at least one other player of the game and interacts with the multiplayer game via a user display;
identifying a plurality of ratable uniquely identifiable computerized entities in the game with which at least one of said plurality of users may interact, wherein said plurality of users interact with the ratable uniquely identifiable computerized entities in the game by way of said user display;
storing computerized rating information provided by users of the game about said plurality of ratable uniquely identifiable computerized entities in the game in a computer-readable medium;
presenting the computerized rating information, said rating information to be co-presented on the user display with the ratable uniquely identifiable computerized entities such that the user may view computerized rating information and have substantially continuous, uninterrupted access to and interaction with said ratable uniquely identifiable computerized entities, wherein said rating information includes an aggregate rating that is a function of ratings provided by users of the game.
2. The method of claim 1 wherein the plurality of ratable uniquely identifiable computerized entities is identified by at least one of a UUID, Object ID and Asset ID.
3. The method of claim 1 wherein the plurality of ratable uniquely identifiable computerized entities includes entities in the multiplayer game identified by at least one including assets, agents, and simulators.
4. The method of claim 1 wherein the users of the multiplayer computerized game include participants and non-participants of a rating service for rating entities.
5. The method of claim 4 wherein a selection of computerized rating information is accessible to participants and non-participants of the rating service.
6. The method of claim 4 wherein the selection of computerized rating information is provided in a computerized rating overlay to be co-presented on the user display with the ratable uniquely identifiable computerized entity, said overlay including controls allowing the non-participants of the rating service to become participants of the rating service.
7. The method of claim 4 further comprising:
providing a computerized rating overlay to be co-presented on the user display with the ratable uniquely identifiable computerized entity, said overlay including:
controls allowing the participants of the rating service to submit rating information about a ratable uniquely identifiable computerized entity; and
controls allowing the participant of the rating service to view customized aggregate rating information about a ratable uniquely identifiable computerized entity.
8. The method of claim 4 wherein computerized rating information comprises quantitative ratings including aggregate numerical values and qualitative ratings including textual comments.
9. The method of claim 7 wherein the qualitative ratings include textual comments selected from a set of predetermined textual comments and textual comments composed by participants of the rating service.
10. The method of claim 1 wherein computerized rating information is automatically displayed when a user interacts with a ratable uniquely identifiable computerized entity in the multiplayer game.
11. The method of claim 10 wherein a user interacting with a ratable uniquely identifiable computerized entity includes the user entering a perimeter of selected proximity to the ratable uniquely identifiable computerized entity.
12. The method of claim 11 wherein the perimeter of selected proximity includes a geographical proximity in a virtual space of a multiplayer game.
13. The method of claim 10 wherein computerized rating information is automatically displayed in fixed spaced relation to the ratable uniquely identifiable computerized entity.
14. The method of claim 13 wherein fixed space relation includes a geographical spaced relation in a virtual space of the multiplayer game.
15. The method of claim 1 further including a rating service that is separate from the ratable computerized entities and wherein computerized rating information is processed to create the aggregate rating by a service that is separate from the ratable computerized entities.
16. The method of claim 1 wherein the multiplayer game includes massive multiplayer online games and network Metaverse games.
17. The method of claim 4 wherein the aggregate rating is a function of a measure of a social circle of a user of the multiplayer game who is also a participant in the rating service and wherein the measure of a social circle is a function of the usage activity of the participant.
18. The method of claim 17 wherein the function of usage activity of the participant includes usage within the multiplayer game and usage in other computerized networked environments.</t>
  </si>
  <si>
    <t>Rowan, Michael J|Bailey, Christopher T M|Chen, Kefeng|Creighton, Neal Lewis</t>
  </si>
  <si>
    <t>G06Q0030020000 | A63F0013335000 | A63F0013352000 | A63F0013537200 | A63F0013710000 | A63F0013798000 | G06F0016953500 | G06F0016958000</t>
  </si>
  <si>
    <t>US20080147424A1</t>
  </si>
  <si>
    <t>US20080147354 A1 | US20080147420 A1 | US20080147424 A1 | US20080147659 A1</t>
  </si>
  <si>
    <t>I-000070517512</t>
  </si>
  <si>
    <t>https://patentscout.innography.com/share/uyUgJFRqLpiwNvug-yxJVQ%3D%3D</t>
  </si>
  <si>
    <t>2007-08-15-ASSIGNMENT (RATEPOINT, INC.)|2010-05-06-INFORMATION ON STATUS: APPLICATION DISCONTINUATION</t>
  </si>
  <si>
    <t>https://patentscout.innography.com/share/uyUgJFRqLpiwNvug-yxJVQ%3D%3D/download</t>
  </si>
  <si>
    <t>https://ppubs.uspto.gov/pubwebapp/external.html?q=20080147424.pn.</t>
  </si>
  <si>
    <t>US20080147424 A1</t>
  </si>
  <si>
    <t>US20080147420 A1</t>
  </si>
  <si>
    <t>2009-11-02</t>
  </si>
  <si>
    <t>WilmerHale</t>
  </si>
  <si>
    <t>1. A method of rating entities in a multiplayer computerized game comprising:
identifying a plurality of users of the multiplayer computerized game wherein each of said plurality of users is in networked communication with at least one other user of the multiplayer game, interacts with at least one other player of the game and interacts with the multiplayer game via a user display;
identifying a plurality of ratable uniquely identifiable computerized entities in the game with which at least one of said plurality of users may interact, wherein said plurality of users interact with the ratable uniquely identifiable computerized entities in the game by way of said user display;
storing computerized rating information provided by users of the game about said plurality of ratable uniquely identifiable computerized entities in the game in a computer-readable medium;
presenting the computerized rating information, said rating information to be co-presented on the user display with the ratable uniquely identifiable computerized entities such that the user may view computerized rating information and have substantially continuous, uninterrupted access to and interaction with said ratable uniquely identifiable computerized entities, wherein said rating information includes an aggregate rating that is a function of ratings provided by users of the game.</t>
  </si>
  <si>
    <t>US9087399 B2 | US9610502 B2 | US20110010675 A1 | US20190373015 A1</t>
  </si>
  <si>
    <t>2023-01-03</t>
  </si>
  <si>
    <t>Techniques are described for using a decentralized group of authentication server nodes to prevent singular dependence upon any given online platform for authenticating avatars. For each epoch duration of time a consensus protocol operating on a blockchain is used to elect an authentication server node. The elected node can then act as an authentication server on behalf of the online platform for that fixed epoch duration of time. Within this epoch of time a client device (e.g. used by a user to access an online platform) performs a periodic heartbeat authentication with the elected authentication server node using an efficient authentication protocol that relies on a keyed-hashing mechanism. A client device can use the described system and authentication methods concurrently with multiple different online platforms (e.g. separate metaverses or other virtual worlds).</t>
  </si>
  <si>
    <t>Decentralized avatar authentication in online platforms</t>
  </si>
  <si>
    <t>NumÉraire Financial, Inc.</t>
  </si>
  <si>
    <t>NUMÉRAIRE FINANCIAL, INC.</t>
  </si>
  <si>
    <t>US17/848768</t>
  </si>
  <si>
    <t xml:space="preserve">A computer-implemented method comprising:
obtaining, by an authentication server and from a client computing device, an identifier of a block on a blockchain including an avatar ownership claim record for an avatar, wherein the avatar is a graphical representation of a user or object to be used within a computer-simulated environment, wherein the computer-simulated environment is provided by a computing environment controlled by an entity that is separate from an entity controlling the authentication server, and wherein the avatar ownership claim record includes data used to display the avatar within the computer-simulated environment;
determining that the block on the blockchain including the avatar ownership claim record is digitally signed using a public/private key pair associated with a user of the client computing device;
identifying a plurality of periods of time, wherein the client computing device is to authenticate the data used to display the avatar within the computer-simulated environment during each of the plurality of periods of time;
during a period of time of the plurality of periods of time, performing a periodic avatar authentication process with the client computing device to obtain an authentication result,
wherein the periodic avatar authentication process includes:
sending, to the client computing device, a random value;
obtaining, from the client computing device, a set of parameters including:
the data used to display the avatar within the computer-simulated environment,
an authenticating ticket generated by the client computing device, wherein the client computing device generates the authenticating ticket by providing as input to a hash function: the random value, a current authenticating key of a set of periodic authenticating keys generated by the client computing device, and the data used to represent the avatar within the computer-simulated environment, and
a previous periodic authenticating key from the set of periodic authenticating keys, wherein the previous periodic authenticating key was used in a previous period of time of the plurality of periods of time; and
sending, to the computing environment providing the computer-simulated environment, a message indicating then authentication result.
</t>
  </si>
  <si>
    <t>1. A computer-implemented method comprising:
obtaining, by an authentication server and from a client computing device, an identifier of a block on a blockchain including an avatar ownership claim record for an avatar, wherein the avatar is a graphical representation of a user or object to be used within a computer-simulated environment, wherein the computer-simulated environment is provided by a computing environment controlled by an entity that is separate from an entity controlling the authentication server, and wherein the avatar ownership claim record includes data used to display the avatar within the computer-simulated environment;
determining that the block on the blockchain including the avatar ownership claim record is digitally signed using a public/private key pair associated with a user of the client computing device;
identifying a plurality of periods of time, wherein the client computing device is to authenticate the data used to display the avatar within the computer-simulated environment during each of the plurality of periods of time;
during a period of time of the plurality of periods of time, performing a periodic avatar authentication process with the client computing device to obtain an authentication result,
wherein the periodic avatar authentication process includes:
sending, to the client computing device, a random value;
obtaining, from the client computing device, a set of parameters including:
the data used to display the avatar within the computer-simulated environment,
an authenticating ticket generated by the client computing device, wherein the client computing device generates the authenticating ticket by providing as input to a hash function: the random value, a current authenticating key of a set of periodic authenticating keys generated by the client computing device, and the data used to represent the avatar within the computer-simulated environment, and
a previous periodic authenticating key from the set of periodic authenticating keys, wherein the previous periodic authenticating key was used in a previous period of time of the plurality of periods of time; and
sending, to the computing environment providing the computer-simulated environment, a message indicating then authentication result.
2. The computer-implemented method of claim 1, wherein the client computing device obtains periodic authenticating key evidence by providing pairs of periodic authenticating keys from the set of periodic authenticating keys as input to a hash function, and wherein the client computing device records one or more records on the blockchain including the periodic authenticating key evidence.
3. The computer-implemented method of claim 1, wherein the client computing device obtains periodic authenticating key evidence by providing pairs of periodic authenticating keys from the set of periodic authenticating keys as input to a hash function, and wherein the client computing device records one or more records on the blockchain including the periodic authenticating key evidence, and wherein the method further comprises validating, by the authentication server, the set of parameters by:
providing previous periodic authenticating keys as input to a hash function to obtain a result, and comparing the result to the periodic authenticating key evidence.
4. The computer-implemented method of claim 1, wherein the client computing device obtains periodic authenticating key evidence by providing pairs of periodic authenticating keys from the set of periodic authenticating keys as input to a hash function, wherein the client computing device records one or more records on the blockchain including the periodic authenticating key evidence, and wherein the method further comprises identifying, on the blockchain, a record indicating that the periodic authenticating key evidence is no longer valid.
5. The computer-implemented method of claim 1, further comprising storing, on the blockchain, a record indicating whether the authentication server successfully validated the set of parameters.
6. The computer-implemented method of claim 1, wherein the data used to display the avatar within the computer-simulated environment is embedded with a serial number generated by the client computing device, and wherein the serial number is associated with the computer-simulated environment.
7. The computer-implemented method of claim 1, further comprising performing a plurality of periodic avatar authentication processes including the periodic avatar authentication process, wherein a separate periodic avatar authentication process is performed for each period of time of the plurality of periods of time.
8. The computer-implemented method of claim 1, wherein the authentication server is elected by execution of a smart contract on the blockchain, and wherein the smart contract elects the authentication server by selecting the authentication server from a plurality of candidate authentication servers.
9. The computer-implemented method of claim 1, wherein the computer-simulated environment provides at least one of: a social interaction-based virtual world, or a gaming environment.
10. A non-transitory computer-readable medium having stored thereon instructions that, when executed by one or more processors, cause the one or more processors to perform operations including:
obtaining, by an authentication server and from a client computing device, an identifier of a block on a blockchain including an avatar ownership claim record for an avatar, wherein the avatar is a graphical representation of a user or object to be used within a computer-simulated environment, wherein the computer-simulated environment is provided by a computing environment controlled by an entity that is separate from an entity controlling the authentication server, and wherein the avatar ownership claim record includes data used to display the avatar within the computer-simulated environment;
determining that the block on the blockchain including the avatar ownership claim record is digitally signed using a public/private key pair associated with a user of the client computing device;
identifying a plurality of periods of time, wherein the client computing device is to authenticate the data used to display the avatar within the computer-simulated environment during each of the plurality of periods of time;
during a period of time of the plurality of periods of time, performing a periodic avatar authentication process with the client computing device to obtain an authentication result,
wherein the periodic avatar authentication process includes:
sending, to the client computing device, a random value;
obtaining, from the client computing device, a set of parameters including:
the data used to display the avatar within the computer-simulated environment,
an authenticating ticket generated by the client computing device, wherein the client computing device generates the authenticating ticket by providing as input to a hash function: the random value, a current authenticating key of a set of periodic authenticating keys generated by the client computing device, and the data used to represent the avatar within the computer-simulated environment, and
a previous periodic authenticating key from the set of periodic authenticating keys, wherein the previous periodic authenticating key was used in a previous period of time of the plurality of periods of time; and
sending, to the computing environment providing the computer-simulated environment, a message indicating then authentication result.
11. The non-transitory computer-readable medium of claim 10, wherein the client computing device obtains periodic authenticating key evidence by providing pairs of periodic authenticating keys from the set of periodic authenticating keys as input to a hash function, and wherein the client computing device records one or more records on the blockchain including the periodic authenticating key evidence, and wherein the instructions, when executed by one or more processors, further cause the one or more processors to perform operations including validating, by the authentication server, the set of parameters by:
providing previous periodic authenticating keys as input to a hash function to obtain a result, and comparing the result to the periodic authenticating key evidence.
12. The non-transitory computer-readable medium of claim 10, wherein the client computing device obtains periodic authenticating key evidence by providing pairs of periodic authenticating keys from the set of periodic authenticating keys as input to a hash function, and wherein the client computing device records one or more records on the blockchain including the periodic authenticating key evidence.
13. The non-transitory computer-readable medium of claim 10, wherein the client computing device obtains periodic authenticating key evidence by providing pairs of periodic authenticating keys from the set of periodic authenticating keys as input to a hash function, wherein the client computing device records one or more records on the blockchain including the periodic authenticating key evidence, and wherein the instructions, when executed by one or more processors, further cause the one or more processors to perform operations including identifying, on the blockchain, a record indicating that the periodic authenticating key evidence is no longer valid.
14. A computing device comprising:
a processor; and
a non-transitory computer-readable medium having stored thereon instructions that, when executed by the processor, cause the processor to perform operations including:
obtaining, by an authentication server and from a client computing device, an identifier of a block on a blockchain including an avatar ownership claim record for an avatar, wherein the avatar is a graphical representation of a user or object to be used within a computer-simulated environment, wherein the computer-simulated environment is provided by a computing environment controlled by an entity that is separate from an entity controlling the authentication server, and wherein the avatar ownership claim record includes data used to display the avatar within the computer-simulated environment;
determining that the block on the blockchain including the avatar ownership claim record is digitally signed using a public/private key pair associated with a user of the client computing device;
identifying a plurality of periods of time, wherein the client computing device is to authenticate the data used to display the avatar within the computer-simulated environment during each of the plurality of periods of time;
during a period of time of the plurality of periods of time, performing a periodic avatar authentication process with the client computing device to obtain an authentication result;
wherein the periodic avatar authentication process includes:
sending, to the client computing device, a random value;
obtaining, from the client computing device, a set of parameters including:
the data used to display the avatar within the computer-simulated environment,
an authenticating ticket generated by the client computing device, wherein the client computing device generates the authenticating ticket by providing as input to a hash function: the random value, a current authenticating key of a set of periodic authenticating keys generated by the client computing device, and the data used to represent the avatar within the computer-simulated environment, and
a previous periodic authenticating key from the set of periodic authenticating keys, wherein the previous periodic authenticating key was used in a previous period of time of the plurality of periods of time; and
sending, to the computing environment providing the computer-simulated environment, a message indicating then authentication result.
15. The computing device of claim 14, wherein the client computing device obtains periodic authenticating key evidence by providing pairs of periodic authenticating keys from the set of periodic authenticating keys as input to a hash function, and wherein the client computing device records one or more records on the blockchain including the periodic authenticating key evidence, and wherein the instructions, when executed by the processor, further cause the processor to perform operations including validating, by the authentication server, the set of parameters by:
providing previous periodic authenticating keys as input to a hash function to obtain a result, and comparing the result to the periodic authenticating key evidence.
16. The computing device of claim 14, wherein the client computing device obtains periodic authenticating key evidence by providing pairs of periodic authenticating keys from the set of periodic authenticating keys as input to a hash function, and wherein the client computing device records one or more records on the blockchain including the periodic authenticating key evidence.
17. The computing device of claim 14, wherein the client computing device obtains periodic authenticating key evidence by providing pairs of periodic authenticating keys from the set of periodic authenticating keys as input to a hash function, wherein the client computing device records one or more records on the blockchain including the periodic authenticating key evidence, and wherein the instructions, when executed by the processor, further cause the processor to perform operations including identifying, on the blockchain, a record indicating that the periodic authenticating key evidence is no longer valid.</t>
  </si>
  <si>
    <t>Hardjono, Thomas P.|Lipton, Marsha</t>
  </si>
  <si>
    <t>H04L0063083000</t>
  </si>
  <si>
    <t>H04L0063083000 | H04L0009140000</t>
  </si>
  <si>
    <t>H04L00906000</t>
  </si>
  <si>
    <t>H04L00906000 | H04L00940000 | H04L00914000</t>
  </si>
  <si>
    <t>US11546322 B1</t>
  </si>
  <si>
    <t>I-000233676665</t>
  </si>
  <si>
    <t>https://patentscout.innography.com/share/KOb4ZlF1aoSC6iSNa1gRww%3D%3D</t>
  </si>
  <si>
    <t>https://patentscout.innography.com/share/KOb4ZlF1aoSC6iSNa1gRww%3D%3D/download</t>
  </si>
  <si>
    <t>https://ppubs.uspto.gov/pubwebapp/external.html?q=11546322.pn.</t>
  </si>
  <si>
    <t>1. A computer-implemented method comprising:
obtaining, by an authentication server and from a client computing device, an identifier of a block on a blockchain including an avatar ownership claim record for an avatar, wherein the avatar is a graphical representation of a user or object to be used within a computer-simulated environment, wherein the computer-simulated environment is provided by a computing environment controlled by an entity that is separate from an entity controlling the authentication server, and wherein the avatar ownership claim record includes data used to display the avatar within the computer-simulated environment;
determining that the block on the blockchain including the avatar ownership claim record is digitally signed using a public/private key pair associated with a user of the client computing device;
identifying a plurality of periods of time, wherein the client computing device is to authenticate the data used to display the avatar within the computer-simulated environment during each of the plurality of periods of time;
during a period of time of the plurality of periods of time, performing a periodic avatar authentication process with the client computing device to obtain an authentication result,
wherein the periodic avatar authentication process includes:
sending, to the client computing device, a random value;
obtaining, from the client computing device, a set of parameters including:
the data used to display the avatar within the computer-simulated environment,
an authenticating ticket generated by the client computing device, wherein the client computing device generates the authenticating ticket by providing as input to a hash function: the random value, a current authenticating key of a set of periodic authenticating keys generated by the client computing device, and the data used to represent the avatar within the computer-simulated environment, and
a previous periodic authenticating key from the set of periodic authenticating keys, wherein the previous periodic authenticating key was used in a previous period of time of the plurality of periods of time; and
sending, to the computing environment providing the computer-simulated environment, a message indicating then authentication result.</t>
  </si>
  <si>
    <t>10. A non-transitory computer-readable medium having stored thereon instructions that, when executed by one or more processors, cause the one or more processors to perform operations including:
obtaining, by an authentication server and from a client computing device, an identifier of a block on a blockchain including an avatar ownership claim record for an avatar, wherein the avatar is a graphical representation of a user or object to be used within a computer-simulated environment, wherein the computer-simulated environment is provided by a computing environment controlled by an entity that is separate from an entity controlling the authentication server, and wherein the avatar ownership claim record includes data used to display the avatar within the computer-simulated environment;
determining that the block on the blockchain including the avatar ownership claim record is digitally signed using a public/private key pair associated with a user of the client computing device;
identifying a plurality of periods of time, wherein the client computing device is to authenticate the data used to display the avatar within the computer-simulated environment during each of the plurality of periods of time;
during a period of time of the plurality of periods of time, performing a periodic avatar authentication process with the client computing device to obtain an authentication result,
wherein the periodic avatar authentication process includes:
sending, to the client computing device, a random value;
obtaining, from the client computing device, a set of parameters including:
the data used to display the avatar within the computer-simulated environment,
an authenticating ticket generated by the client computing device, wherein the client computing device generates the authenticating ticket by providing as input to a hash function: the random value, a current authenticating key of a set of periodic authenticating keys generated by the client computing device, and the data used to represent the avatar within the computer-simulated environment, and
a previous periodic authenticating key from the set of periodic authenticating keys, wherein the previous periodic authenticating key was used in a previous period of time of the plurality of periods of time; and
sending, to the computing environment providing the computer-simulated environment, a message indicating then authentication result.</t>
  </si>
  <si>
    <t>14. A computing device comprising:
a processor; and
a non-transitory computer-readable medium having stored thereon instructions that, when executed by the processor, cause the processor to perform operations including:
obtaining, by an authentication server and from a client computing device, an identifier of a block on a blockchain including an avatar ownership claim record for an avatar, wherein the avatar is a graphical representation of a user or object to be used within a computer-simulated environment, wherein the computer-simulated environment is provided by a computing environment controlled by an entity that is separate from an entity controlling the authentication server, and wherein the avatar ownership claim record includes data used to display the avatar within the computer-simulated environment;
determining that the block on the blockchain including the avatar ownership claim record is digitally signed using a public/private key pair associated with a user of the client computing device;
identifying a plurality of periods of time, wherein the client computing device is to authenticate the data used to display the avatar within the computer-simulated environment during each of the plurality of periods of time;
during a period of time of the plurality of periods of time, performing a periodic avatar authentication process with the client computing device to obtain an authentication result;
wherein the periodic avatar authentication process includes:
sending, to the client computing device, a random value;
obtaining, from the client computing device, a set of parameters including:
the data used to display the avatar within the computer-simulated environment,
an authenticating ticket generated by the client computing device, wherein the client computing device generates the authenticating ticket by providing as input to a hash function: the random value, a current authenticating key of a set of periodic authenticating keys generated by the client computing device, and the data used to represent the avatar within the computer-simulated environment, and
a previous periodic authenticating key from the set of periodic authenticating keys, wherein the previous periodic authenticating key was used in a previous period of time of the plurality of periods of time; and
sending, to the computing environment providing the computer-simulated environment, a message indicating then authentication result.</t>
  </si>
  <si>
    <t>CN107111677 A | IN201647018929 A | US20130116591 A1 | US20190065970 A1 | WO2017212491 A1</t>
  </si>
  <si>
    <t>2019-03-28</t>
  </si>
  <si>
    <t>2039-03-28</t>
  </si>
  <si>
    <t>The invention discloses a care system which comprises a first detection device a feedback device and an artificial intelligence module. The first detection device is worn by a person to be detected to detect the physical condition of the person to be detected and integrates the detection result of the physical condition of the person to be detected into physical data. The feedback device is worn by a caregiver and is in communication connection with the first detection device so as to feed back the body data monitored by the first detection device to the feedback device and the caregiver can know the body condition of the person to be detected through the feedback of the feedback device. The artificial intelligence module comprises a processing unit and a first display unit wherein the processing unit is in communication connection with at least one of the first detection device and the feedback device so as to receive the body data transmitted by at least one of the first detection device and the feedback device and integrate the specific items of the body data to form an interface to be displayed on the first display unit. The invention can effectively improve the care quality and share the work content and the work pressure of the care giver.</t>
  </si>
  <si>
    <t>Care system</t>
  </si>
  <si>
    <t>care system|feedback device|caregiver|body data|intelligence</t>
  </si>
  <si>
    <t>Hushikang Co., Ltd.</t>
  </si>
  <si>
    <t>HUSHIKANG CO., LTD.</t>
  </si>
  <si>
    <t>CN201910243772A</t>
  </si>
  <si>
    <t xml:space="preserve">A care system, the system comprising:the first detection device is worn by a testee to detect the physical condition of the testee and integrates the detection result of the physical condition of the testee into physical data;a feedback device worn by a caregiver and in communication connection with the first detection device for feeding the body data monitored by the first detection device back to the feedback device, wherein the caregiver can know the body condition of the subject through the feedback of the feedback device;an artificial intelligence module, including a processing unit and a first display element, the processing unit is connected with at least one communication in the first detection device and the feedback device, in order to receive the body data that at least one of the first detection device and the feedback device sent, and integrate the specific item of the body data and form an interface to display in the first display element.
</t>
  </si>
  <si>
    <t>1. A care system, the system comprising:the first detection device is worn by a testee to detect the physical condition of the testee and integrates the detection result of the physical condition of the testee into physical data;a feedback device worn by a caregiver and in communication connection with the first detection device for feeding the body data monitored by the first detection device back to the feedback device, wherein the caregiver can know the body condition of the subject through the feedback of the feedback device;an artificial intelligence module, including a processing unit and a first display element, the processing unit is connected with at least one communication in the first detection device and the feedback device, in order to receive the body data that at least one of the first detection device and the feedback device sent, and integrate the specific item of the body data and form an interface to display in the first display element.
2. The care system of claim 1, wherein the first detecting device is a sensing garment worn by the subject for detecting the physical condition of the subject.
3. The care system of claim 1, wherein the feedback device comprises a pressure tactile module, and when the feedback device receives the body data, the feedback device corresponds the uncomfortable body part of the subject to the feedback device according to the body data to press the care subject in a pressure feedback manner.
4. The care system of claim 1, further comprising a metaverse module communicatively coupled to the artificial intelligence module and including a second display unit displaying a metaverse picture, wherein the feedback device has a dynamic sensor communicatively coupled to the artificial intelligence module, wherein the dynamic sensor transmits displacement information of the feedback device to the metaverse module via the artificial intelligence module, and wherein the metaverse module adjusts a change of the metaverse picture according to the displacement information of the feedback device.
5. The system of claim 4, wherein the feedback device further comprises a weight adjuster, the artificial intelligence module of at least one virtual object in the virtual reality screen comprises weight data corresponding to at least one virtual object, and the artificial intelligence module transmits the weight data of at least one object touched by the feedback device to adjust the weight of the feedback device.
6. The system of claim 1, further comprising an augmented reality module communicatively coupled to the artificial intelligence module and including a camera module and a third display unit, the camera module configured to capture an image of an augmented reality displayed on the third display unit, the augmented reality module configured to display at least one augmented object on the augmented reality image.
7. The system of claim 6 wherein the augmented object is an image of a body extending from the subject, the subject selectively moving an appendage to overlap the augmented element for guiding the subject in a rehabilitative exercise.
8. The system of claim 1 further comprising a mobile device, wherein the artificial intelligence module is an APP disposed on the mobile device, and when the first detecting device detects an abnormal physical condition of the subject, the APP can issue a prompt to remind the subject to take a medicine, notify the care provider or perform a registration for hospitalization.
9. The system of any one of claims 1 to 8, further comprising a second detecting device, the second detecting device being in communication with the artificial intelligence module, the second detecting device being a mirror and comprising a scanning lens and a fourth display unit, the scanning lens being configured to scan the physical condition of the subject and integrate the detection results into the physical data for display on the fourth display unit.
10. The system of claim 9, further comprising a cloud processing center, wherein the first detecting device, the second detecting device, the feedback device and the artificial intelligence module are connected to the cloud processing center via an internet, and the cloud processing center transmits the body data detected by the first detecting device and the second detecting device to the feedback device and the artificial intelligence module.</t>
  </si>
  <si>
    <t>Fan, Xiaoyun|Fan, Chuyuan</t>
  </si>
  <si>
    <t>A61B0005020550</t>
  </si>
  <si>
    <t>A61B0005020550 | A61B0005746000</t>
  </si>
  <si>
    <t>A61B00502050</t>
  </si>
  <si>
    <t>CN111743521A</t>
  </si>
  <si>
    <t>$11975</t>
  </si>
  <si>
    <t>CN111743521 A</t>
  </si>
  <si>
    <t>I-000202470852</t>
  </si>
  <si>
    <t>20 years from 2019-03-28 (file date)</t>
  </si>
  <si>
    <t>https://patentscout.innography.com/share/DzWH6mbCDcxYcBtmmFR3dg%3D%3D</t>
  </si>
  <si>
    <t>2020-10-09-PUBLICATION|2020-10-30-ENTRY INTO FORCE OF REQUEST FOR SUBSTANTIVE EXAMINATION</t>
  </si>
  <si>
    <t>https://patentscout.innography.com/share/DzWH6mbCDcxYcBtmmFR3dg%3D%3D/download</t>
  </si>
  <si>
    <t>https://v3.espacenet.com/publicationDetails/biblio?CC=CN&amp;NR=111743521A&amp;KC=A&amp;FT=D&amp;date=20201009&amp;DB=EPODOC&amp;locale=</t>
  </si>
  <si>
    <t>Shi Tong | 谢琼慧 | 史瞳 | Xie Qionghui</t>
  </si>
  <si>
    <t>1. A care system, the system comprising:the first detection device is worn by a testee to detect the physical condition of the testee and integrates the detection result of the physical condition of the testee into physical data;a feedback device worn by a caregiver and in communication connection with the first detection device for feeding the body data monitored by the first detection device back to the feedback device, wherein the caregiver can know the body condition of the subject through the feedback of the feedback device;an artificial intelligence module, including a processing unit and a first display element, the processing unit is connected with at least one communication in the first detection device and the feedback device, in order to receive the body data that at least one of the first detection device and the feedback device sent, and integrate the specific item of the body data and form an interface to display in the first display element.</t>
  </si>
  <si>
    <t>KR102315520 B1 | KR20210034227 A | KR20210079910 A | KR20210124812 A</t>
  </si>
  <si>
    <t>2041-12-29</t>
  </si>
  <si>
    <t>A gold transaction platform service provision system is provided a user terminal that requests gold transaction and uploads gold data including photos and prices a buyer terminal that outputs a purchase event and payment after searching for gold data and uploads gold data The receiving storage unit the provider unit that provides search results when searching for gold data from the purchaser terminal the delivery unit that transmits the purchase event to the user terminal when the purchase event is transmitted from the purchaser terminal and the receipt confirmation of the purchaser terminal when the user terminal accepts the purchase event and a platform service providing server including a settlement unit that settles the remaining amount excluding the fee to the user terminal.</t>
  </si>
  <si>
    <t>System for providing gold trading platform service</t>
  </si>
  <si>
    <t>Jung, Byung Yul</t>
  </si>
  <si>
    <t>KR20210191346A</t>
  </si>
  <si>
    <t>a user terminal for requesting a gold transaction and uploading gold data including a photo and a price;a buyer terminal that searches for the gold data and then outputs a purchase event and makes a payment;an inspection terminal for inspecting whether the gold data and the delivered gold status match and the quality when the user terminal requests a platform purchase; and a storage unit that receives the gold data uploaded from the user terminal, a provision unit that provides a search result when the gold data is retrieved from the purchaser terminal, and a delivery that delivers the purchase event to the user terminal when the purchase event is transmitted from the purchaser terminal In case of acceptance by the user terminal, a settlement unit that settles the remaining amount excluding the fee to the user terminal by confirming receipt of the purchaser terminal. When a platform inspection is requested from the purchaser terminal, the inspection terminal proceeds with the inspection and reports An inspection agency that generates and transmits to the buyer terminal and user terminal, and a development business unit that purchases or brokers the at least one gold mine after analyzing the reserves and profitability of at least one gold mine distributed around the world a platform service providing server;Including, wherein the gold data is data about a gold product or a gold bar, but if the gold being traded is a gold product, it includes the gold content of the gold product, the place of purchase, the time of purchase, the wearing period and current photo information, and the gold being traded In the case of a gold bar, price information set according to the market price is included, and the inspection terminal uses a gold discriminator, a test rod, a touchstone, a test magnet, and a probe pen to test the gold content and measure the weight of the inspection process. Uploaded as an inspection image, and the purchaser terminal, when purchasing a gold product or gold bar to be traded corresponding to the purchase event delivered to the user terminal, can be purchased at a price set by the user of the user terminal, or by the user If the price is not set, it can be purchased according to the inspection result of the inspection terminal, or it can be purchased at the purchase price set by the purchaser of the purchaser terminal according to the user's acceptance, and the providing unit,Creates a MetaVerse that considers the real Korean terrain and buildings, and provides a set of avatars for buyers and users to trade gold within the metaverse, but gold products or gold bars traded between traders are In order to ensure that there is no difference when the customer receives it, it is output as it is in the metaverse, allows traders to negotiate or set the price for gold products or gold bars traded in the metaverse, and the inspection image taken by the inspection terminal by outputting in the metaverse, before the gold product or gold bar purchased by the buyer is transmitted to the buyer through delivery, the user, the buyer and the inspector set the price, inspect, discriminate and To make a transaction process, the development business unit, when performing the analysis of the reserves and profitability of the at least one gold mine,As an resource development project evaluation approach, the market approach is a method of evaluating using transaction examples made in the market, the income approach is a method of converting future profits from assets into present values, and acquiring assets We use the cost approach, a method of evaluating the value by adding up the costs invested up to the following, but using the discounted cash flow model in which future dividends or profits are discounted to the present value as the above revenue approach, PER or PSR indicators Using the multiplier model and the intrinsic value model that mechanically combines the asset value and the profit value, as the above-mentioned market approach, based on the transaction case comparison method estimating based on transaction examples of similar assets and the stock price of companies holding similar assets Using the stock price comparison method to determine, it is possible to distinguish the costs invested so far by the cost approach, and the evaluation is made by discussing the appropriateness of the amount of the input costs, the gold trading platform service providing system.</t>
  </si>
  <si>
    <t>a user terminal for requesting a gold transaction and uploading gold data including a photo and a price;a buyer terminal that searches for the gold data and then outputs a purchase event and makes a payment;an inspection terminal for inspecting whether the gold data and the delivered gold status match and the quality when the user terminal requests a platform purchase; and a storage unit that receives the gold data uploaded from the user terminal, a provision unit that provides a search result when the gold data is retrieved from the purchaser terminal, and a delivery that delivers the purchase event to the user terminal when the purchase event is transmitted from the purchaser terminal In case of acceptance by the user terminal, a settlement unit that settles the remaining amount excluding the fee to the user terminal by confirming receipt of the purchaser terminal. When a platform inspection is requested from the purchaser terminal, the inspection terminal proceeds with the inspection and reports An inspection agency that generates and transmits to the buyer terminal and user terminal, and a development business unit that purchases or brokers the at least one gold mine after analyzing the reserves and profitability of at least one gold mine distributed around the world a platform service providing server;Including, wherein the gold data is data about a gold product or a gold bar, but if the gold being traded is a gold product, it includes the gold content of the gold product, the place of purchase, the time of purchase, the wearing period and current photo information, and the gold being traded In the case of a gold bar, price information set according to the market price is included, and the inspection terminal uses a gold discriminator, a test rod, a touchstone, a test magnet, and a probe pen to test the gold content and measure the weight of the inspection process. Uploaded as an inspection image, and the purchaser terminal, when purchasing a gold product or gold bar to be traded corresponding to the purchase event delivered to the user terminal, can be purchased at a price set by the user of the user terminal, or by the user If the price is not set, it can be purchased according to the inspection result of the inspection terminal, or it can be purchased at the purchase price set by the purchaser of the purchaser terminal according to the user's acceptance, and the providing unit,
Creates a MetaVerse that considers the real Korean terrain and buildings, and provides a set of avatars for buyers and users to trade gold within the metaverse, but gold products or gold bars traded between traders are In order to ensure that there is no difference when the customer receives it, it is output as it is in the metaverse, allows traders to negotiate or set the price for gold products or gold bars traded in the metaverse, and the inspection image taken by the inspection terminal by outputting in the metaverse, before the gold product or gold bar purchased by the buyer is transmitted to the buyer through delivery, the user, the buyer and the inspector set the price, inspect, discriminate and To make a transaction process, the development business unit, when performing the analysis of the reserves and profitability of the at least one gold mine,
As an resource development project evaluation approach, the market approach is a method of evaluating using transaction examples made in the market, the income approach is a method of converting future profits from assets into present values, and acquiring assets We use the cost approach, a method of evaluating the value by adding up the costs invested up to the following, but using the discounted cash flow model in which future dividends or profits are discounted to the present value as the above revenue approach, PER or PSR indicators Using the multiplier model and the intrinsic value model that mechanically combines the asset value and the profit value, as the above-mentioned market approach, based on the transaction case comparison method estimating based on transaction examples of similar assets and the stock price of companies holding similar assets Using the stock price comparison method to determine, it is possible to distinguish the costs invested so far by the cost approach, and the evaluation is made by discussing the appropriateness of the amount of the input costs, the gold trading platform service providing system.
delete
delete
The head office purchase according to claim 1, wherein the platform service providing server transmits the inspection result data to the user terminal using the result of the inspection terminal, and when the user terminal agrees to the inspection result data, the purchase proceeds wealth;Gold trading platform service providing system, characterized in that it further comprises.
The method of claim 1, wherein the platform service providing server conducts an auction or reverse auction for at least one gold, and receives prediction data for the lowest or highest price of the auction or reverse auction from at least one entry terminal, and the prediction an auction proceeding unit that selects an entry terminal whose data matches the lowest or highest price of the auction or reverse auction as a successful bidder and provides the at least one gold; Gold trading platform service providing system, characterized in that it further comprises.
According to claim 1, wherein the platform service providing server, G2G (Government to Government), B2B (Business to Business), B2C (Business to Customer), C2C (Customer to Customer) and P2P (Peer to Peer) gold transaction between intermediaries to intervene;Gold trading platform service providing system, characterized in that it further comprises.
The method of claim 6, wherein the platform service providing server comprises: a money protection unit that holds the transaction price with a trusted third party in the C2C transaction or P2P transaction and then pays it when the transaction is completed;Gold trading platform service providing system, characterized in that it further comprises.
delete
The method of claim 1, wherein the platform service providing server provides AlexPay for payment of virtual currency, and uses the funds generated by using AlexPay for mine development, concentrate purchase, and gold product production. a profit sharing unit that invests and converts a preset percentage of the profits generated according to the investment into rewards and distributes them to at least one user terminal using the Alexpay;Gold trading platform service providing system, characterized in that it further comprises.
[10] The system of claim 9, wherein the reward is paid in gold.</t>
  </si>
  <si>
    <t>G06Q03006000 | G06Q02006000 | G06Q03000000 | G06Q03002000 | G06Q03008000</t>
  </si>
  <si>
    <t>KR102418062B1</t>
  </si>
  <si>
    <t>KR102418062 B1</t>
  </si>
  <si>
    <t>I-000227795832</t>
  </si>
  <si>
    <t>20 years from 2021-12-29 (file date)</t>
  </si>
  <si>
    <t>https://patentscout.innography.com/share/Mlr813z8H6vWCe9ZkgzYiQ%3D%3D</t>
  </si>
  <si>
    <t>2022-06-27-DECISION TO GRANT OR REGISTRATION OF PATENT RIGHT|2022-07-04-WRITTEN DECISION TO GRANT</t>
  </si>
  <si>
    <t>https://patentscout.innography.com/share/Mlr813z8H6vWCe9ZkgzYiQ%3D%3D/download</t>
  </si>
  <si>
    <t>https://v3.espacenet.com/publicationDetails/biblio?CC=KR&amp;NR=102418062B1&amp;KC=B1&amp;FT=D&amp;date=20220708&amp;DB=EPODOC&amp;locale=</t>
  </si>
  <si>
    <t>KR20102418062 B1</t>
  </si>
  <si>
    <t>1.  a user terminal for requesting a gold transaction and uploading gold data including a photo and a price;a buyer terminal that searches for the gold data and then outputs a purchase event and makes a payment;an inspection terminal for inspecting whether the gold data and the delivered gold status match and the quality when the user terminal requests a platform purchase; and a storage unit that receives the gold data uploaded from the user terminal, a provision unit that provides a search result when the gold data is retrieved from the purchaser terminal, and a delivery that delivers the purchase event to the user terminal when the purchase event is transmitted from the purchaser terminal In case of acceptance by the user terminal, a settlement unit that settles the remaining amount excluding the fee to the user terminal by confirming receipt of the purchaser terminal. When a platform inspection is requested from the purchaser terminal, the inspection terminal proceeds with the inspection and reports An inspection agency that generates and transmits to the buyer terminal and user terminal, and a development business unit that purchases or brokers the at least one gold mine after analyzing the reserves and profitability of at least one gold mine distributed around the world a platform service providing server;Including, wherein the gold data is data about a gold product or a gold bar, but if the gold being traded is a gold product, it includes the gold content of the gold product, the place of purchase, the time of purchase, the wearing period and current photo information, and the gold being traded In the case of a gold bar, price information set according to the market price is included, and the inspection terminal uses a gold discriminator, a test rod, a touchstone, a test magnet, and a probe pen to test the gold content and measure the weight of the inspection process. Uploaded as an inspection image, and the purchaser terminal, when purchasing a gold product or gold bar to be traded corresponding to the purchase event delivered to the user terminal, can be purchased at a price set by the user of the user terminal, or by the user If the price is not set, it can be purchased according to the inspection result of the inspection terminal, or it can be purchased at the purchase price set by the purchaser of the purchaser terminal according to the user's acceptance, and the providing unit,
Creates a MetaVerse that considers the real Korean terrain and buildings, and provides a set of avatars for buyers and users to trade gold within the metaverse, but gold products or gold bars traded between traders are In order to ensure that there is no difference when the customer receives it, it is output as it is in the metaverse, allows traders to negotiate or set the price for gold products or gold bars traded in the metaverse, and the inspection image taken by the inspection terminal by outputting in the metaverse, before the gold product or gold bar purchased by the buyer is transmitted to the buyer through delivery, the user, the buyer and the inspector set the price, inspect, discriminate and To make a transaction process, the development business unit, when performing the analysis of the reserves and profitability of the at least one gold mine,
As an resource development project evaluation approach, the market approach is a method of evaluating using transaction examples made in the market, the income approach is a method of converting future profits from assets into present values, and acquiring assets We use the cost approach, a method of evaluating the value by adding up the costs invested up to the following, but using the discounted cash flow model in which future dividends or profits are discounted to the present value as the above revenue approach, PER or PSR indicators Using the multiplier model and the intrinsic value model that mechanically combines the asset value and the profit value, as the above-mentioned market approach, based on the transaction case comparison method estimating based on transaction examples of similar assets and the stock price of companies holding similar assets Using the stock price comparison method to determine, it is possible to distinguish the costs invested so far by the cost approach, and the evaluation is made by discussing the appropriateness of the amount of the input costs, the gold trading platform service providing system.</t>
  </si>
  <si>
    <t>KR20130032620 A | US20130080287 A1 | US20140033044 A1 | US20150123967 A1 | US20150220854 A1</t>
  </si>
  <si>
    <t>2021-01-25</t>
  </si>
  <si>
    <t>2022-01-25</t>
  </si>
  <si>
    <t>2023-07-25</t>
  </si>
  <si>
    <t>The present invention provides a system and method for generating a 3D avatar substantially in real-time. The system and method can be used for a variety of applications for example engagement sessions at pre-defined venues virtual apparel/wearable device fittings and the like. It should be noted that the pre-defined venues can be imaginary environments digitally rendered real environments or actual environments. In some aspects the 3D avatars are able to provide a representation of users in a particular environment.</t>
  </si>
  <si>
    <t>A system and method for generating a 3d avatar</t>
  </si>
  <si>
    <t>Buzz Arvr Pte. Ltd.</t>
  </si>
  <si>
    <t>BUZZ ARVR PTE. LTD.</t>
  </si>
  <si>
    <t>SG2022050034W</t>
  </si>
  <si>
    <t>1 . A system for generating a 3D avatar, the system including one or more data processors configured to: capture, at a device, images of a user and a surrounding environment of the user; transmit, from the device, data of the images; receive, at a central server, the data; process, at the central server, the data; initiate, at the device, a background on which the 3D avatar is overlaid on; display, at the device, the 3D avatar and the background; and control, at the device, the 3D avatar to enable interaction with the background, wherein the device is selected from either a user device or a display device.</t>
  </si>
  <si>
    <t>1 . A system for generating a 3D avatar, the system including one or more data processors configured to: capture, at a device, images of a user and a surrounding environment of the user; transmit, from the device, data of the images; receive, at a central server, the data; process, at the central server, the data; initiate, at the device, a background on which the 3D avatar is overlaid on; display, at the device, the 3D avatar and the background; and control, at the device, the 3D avatar to enable interaction with the background, wherein the device is selected from either a user device or a display device.
2. The system of claim 1 , the one or more data processors further configured to: transmit, from the device, user credentials to access a third party portal; control, at the device, at least one selection resulting from a purchase history of the user, the purchase history being at the third party portal; and record, at the device, the 3D avatar interacting with the background.
3. The system of either claim 1 or 2, wherein the images comprise frontal and side views of the user.
4. The system of claim 3, wherein physical attributes, clothing and accessories of the user are obtained from the images.
5. The system of claim 4, wherein processing of the data at the central server enables generation of the 3D avatar of the user using the physical attributes, clothing and accessories of the user. 
6. The system of claim 5, wherein the processing of the data includes use of machine learning.
7. The system of any of claims 1 to 6, wherein the background is selected from a group consisting of: an actual environment the user is in, any virtual environment, a hybrid real-and-virtual environment, a metaverse, a game universe, and a simulated world.
8. The system of any of claims 1 to 7, wherein interaction enhances the user’s perception of immersion in the background.
9. A data processor implemented method for generating a 3D avatar, the method comprising: capturing, at a device, images of a user and a surrounding environment of the user; transmitting, from the device, data of the images; receiving, at a central server, the data; processing, at the central server, the data; initiating, at the device, a background on which the 3D avatar is overlaid on; displaying, at the device, the 3D avatar and the background; and controlling, at the device, the 3D avatar to enable interaction with the background, wherein the device is selected from either a user device or a display device.
10. The method of claim 9, further comprising: transmitting, from the device, user credentials to access a third party portal; controlling, at the device, at least one selection resulting from a purchase history of the user, the purchase history being at the third party portal; and recording, at the device, the 3D avatar interacting with the background. 
11. The method of either claim 9 or 10, wherein the images comprise frontal and side views of the user.
12. The method of claim 11 , wherein physical attributes, clothing and accessories of the user are obtained from the images.
13. The method of claim 12, wherein processing of the data at the central server enables generation of the 3D avatar of the user using the physical attributes, clothing and accessories of the user.
14. The method of claim 13, wherein the processing of the data includes use of machine learning.
15. The method of any of claims 9 to 14, wherein the background is selected from a group consisting of: an actual environment the user is in, any virtual environment, a hybrid real-and-virtual environment, a metaverse, a game universe, and a simulated world.
16. The method of any of claims 9 to 15, wherein interaction enhances the user’s perception of immersion in the background.
17. A user device configured for generating a 3D avatar, the user device including one or more data processors configured to: capture, images of a user and a surrounding environment of the user; transmit, data of the images; initiate, a background on which the 3D avatar is overlaid on; display, the 3D avatar and the background; and control, the 3D avatar to enable interaction with the background.
18. The user device of claim 17, the one or more data processors further configured to: 
18 transmit, user credentials to access a third party portal; control, at least one selection resulting from a purchase history of the user, the purchase history being at the third party portal; and record, the 3D avatar interacting with the background.
19. The user device of either claim 17 or 18, wherein the images comprise frontal and side views of the user.
20. The user device of claim 19, wherein physical attributes, clothing and accessories of the user are obtained from the images.
21. The user device of any of claims 17 to 20, wherein the background is selected from a group consisting of: an actual environment the user is in, any virtual environment, a hybrid real-and-virtual environment, a metaverse, a game universe, and a simulated world.
22. The user device of any of claims 17 to 21 , wherein interaction enhances the user’s perception of immersion in the background.
23. A display device configured for generating a 3D avatar, the display device including one or more data processors configured to: capture, images of a user and a surrounding environment of the user; transmit, data of the images; initiate, a background on which the 3D avatar is overlaid on; display, the 3D avatar and the background; and control, the 3D avatar to enable interaction with the background.
24. The display device of claim 23, the one or more data processors further configured to: transmit, user credentials to access a third party portal; control, at least one selection resulting from a purchase history of the user, the 
19 purchase history being at the third party portal; and record, the 3D avatar interacting with the background.
25. The display device of either claim 23 or 24, wherein the images comprise frontal and side views of the user.
26. The display device of claim 25, wherein physical attributes, clothing and accessories of the user are obtained from the images.
27. The display device of any of claims 23 to 26, wherein the background is selected from a group consisting of: an actual environment the user is in, any virtual environment, and a hybrid real-and-virtual environment.
28. The display device of any of claims 23 to 27, wherein interaction enhances the user’s perception of immersion in the background.
29. A central server generating a 3D avatar, the central server including one or more data processors configured to: receive, from a device, data of images of a user and a surrounding environment of the user; process, the data; and transmit, to the device, processed data to enable display of the generated 3D avatar to be overlaid on a background, wherein the device is selected from either a user device or a display device.
30. The central server of claim 29, wherein the images comprise frontal and side views of the user.
31. The central server of claim 30, wherein physical attributes, clothing and accessories of the user are obtained from the images. 
20 
32. The central server of claim 31 , wherein processing of the data enables generation of the 3D avatar of the user using the physical attributes, clothing and accessories of the user .
33. The central server of claim 32, wherein the processing of the data includes use of machine learning.
34. The central server of any of claims 29 to 33, wherein the background is selected from a group consisting of: an actual environment the user is in, any virtual environment, a hybrid real-and-virtual environment, a metaverse, a game universe, and a simulated world.
35. The central server of any of claims 29 to 34, the central server including one or more data processors further configured to: receive, from the device, user credentials to access a third party portal; and transmit, to the device, at least one selection resulting from a purchase history of the user, the purchase history being at the third party portal. 
21</t>
  </si>
  <si>
    <t>Beh, Ee|Lim, Kean</t>
  </si>
  <si>
    <t>A63F0013655000</t>
  </si>
  <si>
    <t>A63F0013655000 | A63F0013213000 | A63F0013428000 | G06Q0030064300 | G06Q0050010000</t>
  </si>
  <si>
    <t>G06T01340000 | G06Q03006000 | G06T01900000</t>
  </si>
  <si>
    <t>WO2022159038A1</t>
  </si>
  <si>
    <t>WO2022159038 A1</t>
  </si>
  <si>
    <t>I-000227909384</t>
  </si>
  <si>
    <t>30 months from 2021-01-25 (priority date)</t>
  </si>
  <si>
    <t>https://patentscout.innography.com/share/r9FR_bfRrEPfI8twvtZwvg%3D%3D</t>
  </si>
  <si>
    <t>2022-09-07-EP: THE EPO HAS BEEN INFORMED BY WIPO THAT EP WAS DESIGNATED IN THIS APPLICATION</t>
  </si>
  <si>
    <t>https://patentscout.innography.com/share/r9FR_bfRrEPfI8twvtZwvg%3D%3D/download</t>
  </si>
  <si>
    <t>https://v3.espacenet.com/publicationDetails/biblio?CC=WO&amp;NR=2022159038A1&amp;KC=A1&amp;FT=D&amp;date=20220728&amp;DB=EPODOC&amp;locale=</t>
  </si>
  <si>
    <t>WO2022152590 A1</t>
  </si>
  <si>
    <t>FPA Patent Attorneys</t>
  </si>
  <si>
    <t>1.  THE CLAIMS DEFINING THE INVENTION ARE AS FOLLOWS:</t>
  </si>
  <si>
    <t>2.  1  . A system for generating a 3D avatar, the system including one or more data processors configured to: capture, at a device, images of a user and a surrounding environment of the user; transmit, from the device, data of the images; receive, at a central server, the data; process, at the central server, the data; initiate, at the device, a background on which the 3D avatar is overlaid on; display, at the device, the 3D avatar and the background; and control, at the device, the 3D avatar to enable interaction with the background, wherein the device is selected from either a user device or a display device.</t>
  </si>
  <si>
    <t>10.  9.  A data processor implemented method for generating a 3D avatar, the method comprising: capturing, at a device, images of a user and a surrounding environment of the user; transmitting, from the device, data of the images; receiving, at a central server, the data; processing, at the central server, the data; initiating, at the device, a background on which the 3D avatar is overlaid on; displaying, at the device, the 3D avatar and the background; and controlling, at the device, the 3D avatar to enable interaction with the background, wherein the device is selected from either a user device or a display device.</t>
  </si>
  <si>
    <t>18.  17.  A user device configured for generating a 3D avatar, the user device including one or more data processors configured to: capture, images of a user and a surrounding environment of the user; transmit, data of the images; initiate, a background on which the 3D avatar is overlaid on; display, the 3D avatar and the background; and control, the 3D avatar to enable interaction with the background.</t>
  </si>
  <si>
    <t>24.  23.  A display device configured for generating a 3D avatar, the display device including one or more data processors configured to: capture, images of a user and a surrounding environment of the user; transmit, data of the images; initiate, a background on which the 3D avatar is overlaid on; display, the 3D avatar and the background; and control, the 3D avatar to enable interaction with the background.</t>
  </si>
  <si>
    <t>30.  29.  A central server generating a 3D avatar, the central server including one or more data processors configured to: receive, from a device, data of images of a user and a surrounding environment of the user; process, the data; and transmit, to the device, processed data to enable display of the generated 3D avatar to be overlaid on a background, wherein the device is selected from either a user device or a display device.</t>
  </si>
  <si>
    <t>2018-12-11</t>
  </si>
  <si>
    <t>2038-12-11</t>
  </si>
  <si>
    <t>2020-06-11</t>
  </si>
  <si>
    <t>A method and system of valuing a digital asset. The method comprises monitoring at a server computing device generation of a sentiment community in accordance with social media content data rendered at a display interface of a computing device identifying in conjunction with indicia of a digital asset referenced in the social media content data at least one sentiment expression of the sentiment community and determining a valuation of the digital asset based at least in part on the at least one sentiment expression and a rarity measure the rarity measure indicating a relative uniqueness of least one attribute of the digital asset.</t>
  </si>
  <si>
    <t>Method and system for transitory sentiment community- based digital asset valuation</t>
  </si>
  <si>
    <t>Hiwave Technologies Inc.</t>
  </si>
  <si>
    <t>HIWAVE TECHNOLOGIES INC.</t>
  </si>
  <si>
    <t>US17/735508</t>
  </si>
  <si>
    <t xml:space="preserve">A method of valuing a digital asset, the method comprising:
monitoring, at a server computing device, generation of a sentiment community in accordance with social media content data rendered at a display interface of a computing device;
identifying, in conjunction with indicia of a digital asset referenced in the social media content data, at least one sentiment expression of the sentiment community; and
determining a valuation of the digital asset based at least in part on the at least one sentiment expression and a rarity measure, the rarity measure indicating a relative uniqueness of least one attribute of the digital asset.
</t>
  </si>
  <si>
    <t>1. A method of valuing a digital asset, the method comprising:
monitoring, at a server computing device, generation of a sentiment community in accordance with social media content data rendered at a display interface of a computing device;
identifying, in conjunction with indicia of a digital asset referenced in the social media content data, at least one sentiment expression of the sentiment community; and
determining a valuation of the digital asset based at least in part on the at least one sentiment expression and a rarity measure, the rarity measure indicating a relative uniqueness of least one attribute of the digital asset.
2. The method of claim 1 wherein the rarity measure is further based at least in part upon tracking sentiment expressions related to the at least one attribute across the metaverse of digital assets.
3. The method of claim 1 wherein the social media content data comprises one or more of: a hashtag, a twitter handle, an emoticon, a message exchange, at least a portion of a website content, a product name, a product feature, a third-party character name, and a third-party character attribute.
4. The method of claim 1 wherein the digital asset comprises at least one of: an image, a video, a textual work, an audio rendering, and a text string produced via a speech to text conversion of at least a portion of an audio file source.
5. The method of claim 1 further comprising assigning a valuation indicia of the valuation as determined, the valuation indicia being rendered in a display representation of the digital asset and comprising a denomination rendered in accordance with at least one of a national currency and a cryptocurrency.
6. The method of claim 5 further comprising:
associating a data record of the display representation of the digital asset with a unique identifier of a location within an immutable storage medium; and
transmitting the data record to the location within the immutable storage medium for storage thereon.
7. The method of claim 1 wherein the digital asset comprises one of: (i) a virtual asset generated within the metaverse, and (ii) a digital representation of a tangible asset.
8. The method of claim 1 wherein the at least one sentiment expression comprises a sarcasm sentiment.
9. The method of claim 8 further comprising modifying, upon detecting the sarcasm sentiment within the social media data content associated with the digital asset as being one of above and below a sarcasm sentiment likelihood threshold, a sentiment classification associated with the at least one sentiment expression.
10. The method of claim 9 further comprising determining the valuation based at least in part on the sentiment classification in accordance with the modifying.
11. A server computing system coupled to at least one subscriber computing device in a communication network, the server computing system comprising:
a processor;
a memory storing a set of instructions, the instructions when executed in the processor causing operations comprising:
monitoring, at a server computing device, generation of a sentiment community in accordance with social media content data rendered at a display interface of a computing device;
identifying, in conjunction with indicia of a digital asset referenced in the social media content data, at least one sentiment expression of the sentiment community; and
determining a valuation of the digital asset based at least in part on the at least one sentiment expression and a rarity measure, the rarity measure indicating a relative uniqueness of least one attribute of the digital asset.
12. The server computing system of claim 11 wherein the rarity measure is further based at least in part upon tracking sentiment expressions related to the at least one attribute across the metaverse of digital assets.
13. The server computing system of claim 11 wherein the social media content data comprises one or more of: a hashtag, a twitter handle, an emoticon, a message exchange, at least a portion of a website content, a product name, a product feature, a third-party character name, and a third-party character attribute.
14. The server computing system of claim 11 wherein the digital asset comprises at least one of: an image, a video, a textual work, an audio rendering, and a text string produced via a speech to text conversion of at least a portion of an audio file source.
15. The server computing system of claim 11 further comprising instructions executable in the processor to cause operations comprising:
assigning an indicia of the valuation as determined, the indicia being rendered in a display representation of the digital asset, the indicia comprising a denomination rendered in accordance with at least one of a national currency and a cryptocurrency.
16. The server computing system of claim 15 further comprising instructions executable in the processor to cause operations comprising:
associating a data record of the display representation of the digital asset with a unique identifier of a location within an immutable storage medium; and
transmitting the data record to the location within the immutable storage medium for storage thereon.
17. The server computing system of claim 11 wherein the digital asset comprises one of: (i) a virtual asset generated within the metaverse, and (ii) a digital representation of a tangible asset.
18. The server computing system of claim 11 wherein the at least one sentiment expression comprises a sarcasm sentiment.
19. The server computing system of claim 18 further comprising instructions executable in the processor to cause operations comprising:
modifying, upon detecting the sarcasm sentiment within the social media data content associated with the digital asset as being one of above and below a sarcasm sentiment likelihood threshold, a sentiment classification associated with the at least one sentiment expression; and
determining the valuation based at least in part on the sentiment classification in accordance with the modifying.
20. A non-transitory, computer readable medium storing instructions, the instructions being executable in a processor, the instructions when executed in the processor causing operations comprising:
monitoring, at a server computing device, generation of a sentiment community in accordance with social media content data rendered at a display interface of a computing device;
identifying, in conjunction with indicia of a digital asset referenced in the social media content data, at least one sentiment expression of the sentiment community; and
determining a valuation of the digital asset based at least in part on the at least one sentiment expression and a rarity measure, the rarity measure indicating a relative uniqueness of least one attribute of the digital asset.</t>
  </si>
  <si>
    <t>Bhan, Vaibhav</t>
  </si>
  <si>
    <t>G06Q0030028200</t>
  </si>
  <si>
    <t>G06Q0030028200 | G06Q0030020300</t>
  </si>
  <si>
    <t>US20220261863A1</t>
  </si>
  <si>
    <t>US20200184521 A1 | US11270357 B2 | US20220148049 A1 | US20220261863 A1</t>
  </si>
  <si>
    <t>I-000228683849</t>
  </si>
  <si>
    <t>20 years from 2018-12-11 (file date of patent US11270357)</t>
  </si>
  <si>
    <t>https://patentscout.innography.com/share/C3dSR9TA67ykFD-tWioLDw%3D%3D</t>
  </si>
  <si>
    <t>2022-05-10-INFORMATION ON STATUS: PATENT APPLICATION AND GRANTING PROCEDURE IN GENERAL</t>
  </si>
  <si>
    <t>https://patentscout.innography.com/share/C3dSR9TA67ykFD-tWioLDw%3D%3D/download</t>
  </si>
  <si>
    <t>https://ppubs.uspto.gov/pubwebapp/external.html?q=20220261863.pn.</t>
  </si>
  <si>
    <t>US20220261863 A1</t>
  </si>
  <si>
    <t>US20200184521 A1</t>
  </si>
  <si>
    <t>1. A method of valuing a digital asset, the method comprising:
monitoring, at a server computing device, generation of a sentiment community in accordance with social media content data rendered at a display interface of a computing device;
identifying, in conjunction with indicia of a digital asset referenced in the social media content data, at least one sentiment expression of the sentiment community; and
determining a valuation of the digital asset based at least in part on the at least one sentiment expression and a rarity measure, the rarity measure indicating a relative uniqueness of least one attribute of the digital asset.</t>
  </si>
  <si>
    <t>11. A server computing system coupled to at least one subscriber computing device in a communication network, the server computing system comprising:
a processor;
a memory storing a set of instructions, the instructions when executed in the processor causing operations comprising:
monitoring, at a server computing device, generation of a sentiment community in accordance with social media content data rendered at a display interface of a computing device;
identifying, in conjunction with indicia of a digital asset referenced in the social media content data, at least one sentiment expression of the sentiment community; and
determining a valuation of the digital asset based at least in part on the at least one sentiment expression and a rarity measure, the rarity measure indicating a relative uniqueness of least one attribute of the digital asset.</t>
  </si>
  <si>
    <t>20. A non-transitory, computer readable medium storing instructions, the instructions being executable in a processor, the instructions when executed in the processor causing operations comprising:
monitoring, at a server computing device, generation of a sentiment community in accordance with social media content data rendered at a display interface of a computing device;
identifying, in conjunction with indicia of a digital asset referenced in the social media content data, at least one sentiment expression of the sentiment community; and
determining a valuation of the digital asset based at least in part on the at least one sentiment expression and a rarity measure, the rarity measure indicating a relative uniqueness of least one attribute of the digital asset.</t>
  </si>
  <si>
    <t>KR102343740 B1</t>
  </si>
  <si>
    <t>A political bus platform service providing system is provided and a user terminal that outputs at least one election schedule and candidate information of at least one candidate and outputs basic information promises YouTube and cheering messages of each candidate and at least one election schedule and a storage unit for collecting and storing candidate information of at least one candidate a main configuration unit configured to output the type of election election schedule and candidate information in the main screen It includes a platform service providing server including a tab providing unit that provides the candidate&amp;#39;s basic information promises and tabs of YouTube and cheering posts.</t>
  </si>
  <si>
    <t>System for providing politics verse platform service</t>
  </si>
  <si>
    <t>election|candidate information|service providing|YouTube|promise</t>
  </si>
  <si>
    <t>Kwon, Min Young</t>
  </si>
  <si>
    <t>KR20220024325A</t>
  </si>
  <si>
    <t>a user terminal for outputting at least one election schedule and candidate information of at least one candidate, and outputting basic information of each candidate, a promise, YouTube, and a cheering message; and a storage unit for collecting and storing at least one election schedule and candidate information of at least one candidate; A tab providing unit that provides tabs of each candidate's basic information, promises, YouTube and cheering comments as a submenu of the main screen, collects links to YouTube channels of the at least one candidate and plays multimedia within the tab of YouTube It is located in the layout, and when a link of the YouTube channel is clicked, a content playback unit that allows content to be streamed in the multimedia play layout without page movement, a metaverse space for the at least one candidate is provided, and the A meta-community provider that provides a channel for exchanging opinions on politics and policies by providing a community within the metaverse, providing a metaverse space for the at least one candidate, After receiving a request for uploading the candidate information from at least one candidate terminal of the at least one candidate, a meta-policy providing unit that provides visual content for a policy campaign including the slogan of the at least one candidate in the metaverse, and a platform service providing server including a cost settlement unit for uploading the candidate information by receiving payment for a monthly fixed amount or at least one service fee, wherein the main component unit collects and lists links to videos of YouTube channels of each candidate, and Detects a section with high interaction with voters and a sense of presence through audio analysis of the YouTube channel video, detects a section where detailed information of candidates can be checked through image and text analysis, and summarizes the detected section provides a short-form video of, the meta-community provider uses the conversations in the community filtered using the features of the macrobot for a poll, and the meta-policy provider includes: Using the Bayes classifier, the candidate's promises are classified into those who won and those who failed to predict the election of the candidates through the compared data. A system for providing a political bus platform service, characterized in that it is provided as an additional service and profiling that provides each voter profile is performed through big data, cluster analysis, regression analysis, and association analysis.</t>
  </si>
  <si>
    <t>a user terminal for outputting at least one election schedule and candidate information of at least one candidate, and outputting basic information of each candidate, a promise, YouTube, and a cheering message; and a storage unit for collecting and storing at least one election schedule and candidate information of at least one candidate; A tab providing unit that provides tabs of each candidate's basic information, promises, YouTube and cheering comments as a submenu of the main screen, collects links to YouTube channels of the at least one candidate and plays multimedia within the tab of YouTube It is located in the layout, and when a link of the YouTube channel is clicked, a content playback unit that allows content to be streamed in the multimedia play layout without page movement, a metaverse space for the at least one candidate is provided, and the A meta-community provider that provides a channel for exchanging opinions on politics and policies by providing a community within the metaverse, providing a metaverse space for the at least one candidate, After receiving a request for uploading the candidate information from at least one candidate terminal of the at least one candidate, a meta-policy providing unit that provides visual content for a policy campaign including the slogan of the at least one candidate in the metaverse, and a platform service providing server including a cost settlement unit for uploading the candidate information by receiving payment for a monthly fixed amount or at least one service fee, wherein the main component unit collects and lists links to videos of YouTube channels of each candidate, and Detects a section with high interaction with voters and a sense of presence through audio analysis of the YouTube channel video, detects a section where detailed information of candidates can be checked through image and text analysis, and summarizes the detected section provides a short-form video of, the meta-community provider uses the conversations in the community filtered using the features of the macrobot for a poll, and the meta-policy provider includes: Using the Bayes classifier, the candidate's promises are classified into those who won and those who failed to predict the election of the candidates through the compared data. A system for providing a political bus platform service, characterized in that it is provided as an additional service and profiling that provides each voter profile is performed through big data, cluster analysis, regression analysis, and association analysis.
delete
delete
delete
delete
delete
delete
delete
delete
delete</t>
  </si>
  <si>
    <t>G06Q05026000 | G06F00304817 | G06Q01010000 | G06Q05010000 | G06Q05030000 | G06T01340000 | G06T01900000</t>
  </si>
  <si>
    <t>KR102460209B1</t>
  </si>
  <si>
    <t>KR102460209 B1</t>
  </si>
  <si>
    <t>I-000231724413</t>
  </si>
  <si>
    <t>https://patentscout.innography.com/share/OfS7FbUTjtFr5S0Wjk1pCA%3D%3D</t>
  </si>
  <si>
    <t>2022-06-17-AMENDMENT|2022-08-29-APPLICATION REFUSED [PATENT]|2022-09-16-AMENDMENT|2022-10-20-DECISION TO GRANT (AFTER RE-EXAMINATION)|2022-10-25-WRITTEN DECISION TO GRANT</t>
  </si>
  <si>
    <t>https://patentscout.innography.com/share/OfS7FbUTjtFr5S0Wjk1pCA%3D%3D/download</t>
  </si>
  <si>
    <t>https://v3.espacenet.com/publicationDetails/biblio?CC=KR&amp;NR=102460209B1&amp;KC=B1&amp;FT=D&amp;date=20221031&amp;DB=EPODOC&amp;locale=</t>
  </si>
  <si>
    <t>KR20102460209 B1</t>
  </si>
  <si>
    <t>1.  a user terminal for outputting at least one election schedule and candidate information of at least one candidate, and outputting basic information of each candidate, a promise, YouTube, and a cheering message; and a storage unit for collecting and storing at least one election schedule and candidate information of at least one candidate; A tab providing unit that provides tabs of each candidate's basic information, promises, YouTube and cheering comments as a submenu of the main screen, collects links to YouTube channels of the at least one candidate and plays multimedia within the tab of YouTube It is located in the layout, and when a link of the YouTube channel is clicked, a content playback unit that allows content to be streamed in the multimedia play layout without page movement, a metaverse space for the at least one candidate is provided, and the A meta-community provider that provides a channel for exchanging opinions on politics and policies by providing a community within the metaverse, providing a metaverse space for the at least one candidate, After receiving a request for uploading the candidate information from at least one candidate terminal of the at least one candidate, a meta-policy providing unit that provides visual content for a policy campaign including the slogan of the at least one candidate in the metaverse, and a platform service providing server including a cost settlement unit for uploading the candidate information by receiving payment for a monthly fixed amount or at least one service fee, wherein the main component unit collects and lists links to videos of YouTube channels of each candidate, and Detects a section with high interaction with voters and a sense of presence through audio analysis of the YouTube channel video, detects a section where detailed information of candidates can be checked through image and text analysis, and summarizes the detected section provides a short-form video of, the meta-community provider uses the conversations in the community filtered using the features of the macrobot for a poll, and the meta-policy provider includes: Using the Bayes classifier, the candidate's promises are classified into those who won and those who failed to predict the election of the candidates through the compared data. A system for providing a political bus platform service, characterized in that it is provided as an additional service and profiling that provides each voter profile is performed through big data, cluster analysis, regression analysis, and association analysis.</t>
  </si>
  <si>
    <t>2022-05-20</t>
  </si>
  <si>
    <t>2023-11-20</t>
  </si>
  <si>
    <t>Consistent with some disclosed embodiments systems methods and computer readable media for operating an online competition are disclosed. Systems methods devices and non-transitory computer readable media may include at least one processor that may be configured to randomize one or more aspects of the online competition; and interface with one or more online skill-based games for playing as part of the online competition.</t>
  </si>
  <si>
    <t>Systems and methods for skill-based gaming</t>
  </si>
  <si>
    <t>Xmlabs Ltd.</t>
  </si>
  <si>
    <t>XMLABS LTD.</t>
  </si>
  <si>
    <t>IB2022054747W</t>
  </si>
  <si>
    <t>1. A method for operating an online competition comprising: providing an online competition platform configured to operate the online competition; providing one or more online skill-based games for playing as part of the online competition, wherein each of the one or more online skill-based games interfaces to the online competition platform in order to be included in the online competition; and by the online competition platform, randomizing one or more aspects of the online competition.</t>
  </si>
  <si>
    <t>1. A method for operating an online competition comprising: providing an online competition platform configured to operate the online competition; providing one or more online skill-based games for playing as part of the online competition, wherein each of the one or more online skill-based games interfaces to the online competition platform in order to be included in the online competition; and by the online competition platform, randomizing one or more aspects of the online competition.
2. The method of claim 1, wherein the randomized aspect is the choice of skill-based game to be played from the one or more skill-based games.
3. The method of claim 1, wherein the randomized aspect is the selection of a prize from an inventory of prizes.
4. The method of claim 1, wherein the randomized aspect is the selection of opponents.
5. The method of claim 4, wherein the online competition is a multi-stage online competition and opponents are randomly selected after each game stage of the online multi-stage competition is completed.
6. The method of claim 1 , wherein the online game takes place within a metaverse.
7. The method of claim 1, wherein the winner of the online competition is decided based on one or more of a highest win streak in an allotted time period, a highest cumulative score for all games played, or an average score for all games played.
8. The method of claim 1, wherein the determination of a game winner is made at the end of a specified time period.
9. The method of claim 1, wherein the prize is randomly selected by spinning a virtual prize wheel.
10. A system for operating an online competition comprising: an online competition platform configured to operate the online competition and to randomize one or more aspects of the online competition; and one or more online skill-based games for playing as part of the online competition, wherein each of the one or more online skill-based games interfaces to the online competition platform in order to be included in the online competition.
11. The system of claim 10, wherein the randomized aspect is the choice of skill-based game to be played from the one or more skill-based games.
12. The system of claim 10, wherein the randomized aspect is the selection of a prize from an inventory of prizes.
13. The system of claim 10, wherein the randomized aspect is the selection of opponents.
14. The system of claim 13, wherein the online competition is a multi-stage online competition and opponents are randomly selected after each game stage of the online multi-stage competition is completed.
15. The system of claim 10, wherein the online game takes place within a metaverse.
16. The system of claim 10, wherein the winner of the online competition is decided based on one or more of a highest win streak in an allotted time period, a highest cumulative score for all games played, or an average score for all games played.
17. The system of claim 10, wherein the determination of a game winner is made at the end of a specified time period.
18. The system of claim 10, wherein the prize is randomly selected by spinning a virtual prize wheel.
19. A non-transitory computer readable medium containing instructions that when executed by at least one processor, cause the at least one processor to perform operations for operating an online competition, the operations comprising: randomizing one or more aspects of the online competition; and interfacing with one or more online skill-based games for playing as part of the online competition.
20. The system of claim 19, wherein the randomized aspect is the choice of skill-based game to be played from the one or more skill-based games. 
21. The system of claim 19, wherein the randomized aspect is the selection of a prize from an inventory of prizes.
22. The system of claim 19, wherein the randomized aspect is the selection of opponents.
23. The system of claim 22, wherein the online competition is a multi-stage online competition and opponents are randomly selected after each game stage of the online multi-stage competition is completed.
24. The system of claim 19, wherein the online game takes place within a metaverse.
25. The system of claim 19, wherein the winner of the online competition is decided based on one or more of a highest win streak in an allotted time period, a highest cumulative score for all games played, or an average score for all games played.
26. The system of claim 19, wherein the determination of a game winner is made at the end of a specified time period.
27. The system of claim 19, wherein the prize is randomly selected by spinning a virtual prize wheel.</t>
  </si>
  <si>
    <t>Harkham, Gabriel Joseph|Middleton, Randall Paul|Stein, Steve</t>
  </si>
  <si>
    <t>A63F0013000000 | G07F0017000000</t>
  </si>
  <si>
    <t>WO2022243972A2</t>
  </si>
  <si>
    <t>WO2022243972 A2</t>
  </si>
  <si>
    <t>I-000232353277</t>
  </si>
  <si>
    <t>30 months from 2021-05-20 (priority date)</t>
  </si>
  <si>
    <t>https://patentscout.innography.com/share/O2qcEYbmheE1jLnD1bUOyA%3D%3D</t>
  </si>
  <si>
    <t>https://patentscout.innography.com/share/O2qcEYbmheE1jLnD1bUOyA%3D%3D/download</t>
  </si>
  <si>
    <t>https://v3.espacenet.com/publicationDetails/biblio?CC=WO&amp;NR=2022243972A2&amp;KC=A2&amp;FT=D&amp;date=20221124&amp;DB=EPODOC&amp;locale=</t>
  </si>
  <si>
    <t>WO2022180195 A1</t>
  </si>
  <si>
    <t>2.  1.  A method for operating an online competition comprising: providing an online competition platform configured to operate the online competition; providing one or more online skill-based games for playing as part of the online competition, wherein each of the one or more online skill-based games interfaces to the online competition platform in order to be included in the online competition; and by the online competition platform, randomizing one or more aspects of the online competition.</t>
  </si>
  <si>
    <t>11.  10.  A system for operating an online competition comprising: an online competition platform configured to operate the online competition and to randomize one or more aspects of the online competition; and one or more online skill-based games for playing as part of the online competition, wherein each of the one or more online skill-based games interfaces to the online competition platform in order to be included in the online competition.</t>
  </si>
  <si>
    <t>20.  19.  A non-transitory computer readable medium containing instructions that when executed by at least one processor, cause the at least one processor to perform operations for operating an online competition, the operations comprising: randomizing one or more aspects of the online competition; and interfacing with one or more online skill-based games for playing as part of the online competition.</t>
  </si>
  <si>
    <t>2009-06-04</t>
  </si>
  <si>
    <t>2008-07-28</t>
  </si>
  <si>
    <t>2018-07-28</t>
  </si>
  <si>
    <t>Provided is a rehabilitation support system in which keys necessary for screen operation are gathered in one place and changed to a large switch so that a disabled or elderly person can easily operate a keyboard of a personal computer. A large switch 1 for taking out a signal from an operation key on a screen on the Internet and operating the screen and an external connection for connecting an external special device 7 or the like arranged in parallel with the large switch A terminal 3 and a board 3 for distributing signals from the personal computer 8 and a case 4 for housing these components are constituted. The external connection terminal 2 can be connected to a switch that is suitable for your rehabilitation and a commercially available health device. [Selection] Fig. 1</t>
  </si>
  <si>
    <t>A device that connects a personal computer and a person performing rehabilitation</t>
  </si>
  <si>
    <t>JP2008005906U</t>
  </si>
  <si>
    <t>Claims include a system including a metaverse (Metaverse is an electronic three-dimensional space existing on the Internet), a signal conversion device for connecting a rehabilitation (therapeutic exercise therapy) device, and a rehabilitation dedicated switch. It is a rehabilitation device and health care system that can be experienced as a game and helps to maintain and restore mind and body functions.</t>
  </si>
  <si>
    <t>G06F00301000 | G06F00302000</t>
  </si>
  <si>
    <t>JP3150731U</t>
  </si>
  <si>
    <t>$25766</t>
  </si>
  <si>
    <t>JP3150731 U</t>
  </si>
  <si>
    <t>I-000140006964</t>
  </si>
  <si>
    <t>10 years from 2008-07-28 (file date)</t>
  </si>
  <si>
    <t>https://patentscout.innography.com/share/x8GYeea6O8WCh44UOcxq6A%3D%3D</t>
  </si>
  <si>
    <t>2009-03-26-WRITTEN AMENDMENT|2009-05-13-CERTIFICATE OF PATENT OR REGISTRATION OF UTILITY MODEL|2009-05-14-RENEWAL FEE PAYMENT (EVENT DATE IS RENEWAL DATE OF DATABASE)|2009-05-28-CERTIFICATE OF PATENT OR REGISTRATION OF UTILITY MODEL|2009-06-01-RENEWAL FEE PAYMENT (EVENT DATE IS RENEWAL DATE OF DATABASE)|2012-05-15-RENEWAL FEE PAYMENT (EVENT DATE IS RENEWAL DATE OF DATABASE)</t>
  </si>
  <si>
    <t>https://patentscout.innography.com/share/x8GYeea6O8WCh44UOcxq6A%3D%3D/download</t>
  </si>
  <si>
    <t>https://v3.espacenet.com/publicationDetails/biblio?CC=JP&amp;NR=3150731U&amp;KC=U&amp;FT=D&amp;date=20090604&amp;DB=EPODOC&amp;locale=</t>
  </si>
  <si>
    <t>JP2008111560 A</t>
  </si>
  <si>
    <t>JP03150731 U</t>
  </si>
  <si>
    <t>1. Claims include a system including a metaverse (Metaverse is an electronic three-dimensional space existing on the Internet), a signal conversion device for connecting a rehabilitation (therapeutic exercise therapy) device, and a rehabilitation dedicated switch. It is a rehabilitation device and health care system that can be experienced as a game and helps to maintain and restore mind and body functions.</t>
  </si>
  <si>
    <t>2018-05-11</t>
  </si>
  <si>
    <t>2021-01-26</t>
  </si>
  <si>
    <t>2017-10-31</t>
  </si>
  <si>
    <t>2037-10-30</t>
  </si>
  <si>
    <t>2018-05-03</t>
  </si>
  <si>
    <t>A virtual reality interaction processing method and an electronic device are provided. The virtual reality interaction processing method comprises the following steps: mapping a first physical object to a first virtual object in a virtual space; generating a collision signal when a first virtual object in the virtual space overlaps a second virtual object; and providing the collision signal to the first physical object such that the first physical object operates in accordance with the collision signal. The present disclosure enables improved entertainment applications with respect to a virtual space because the first physical object can react according to a collision event in the virtual space.</t>
  </si>
  <si>
    <t>Virtual reality interaction processing method and electronic device</t>
  </si>
  <si>
    <t>CN201711049348A</t>
  </si>
  <si>
    <t xml:space="preserve">A virtual reality interactive processing method is characterized by comprising the following steps:mapping a first physical object in a first physical space to a first virtual object in a virtual space;mapping a first physical location of the first physical object to a first virtual location in the virtual space;mapping a second physical object in a second physical space to a second virtual object in the virtual space, wherein the physical space positions of the second physical space and the first physical space are different;mapping a second physical location of the second physical object to a second virtual location in the virtual space, wherein the first physical location of the first physical object is obtained from the first physical object and the second physical location of the second physical object is obtained from the second physical object;generating a collision signal when the first virtual object in the virtual space overlaps the second virtual object;determining force information in the collision signal according to a volume of an overlapping region of the first virtual object and the second virtual object; andproviding the collision signal to the first physical object such that the first physical object operates in accordance with the collision signal.
</t>
  </si>
  <si>
    <t>1. A virtual reality interactive processing method is characterized by comprising the following steps:mapping a first physical object in a first physical space to a first virtual object in a virtual space;mapping a first physical location of the first physical object to a first virtual location in the virtual space;mapping a second physical object in a second physical space to a second virtual object in the virtual space, wherein the physical space positions of the second physical space and the first physical space are different;mapping a second physical location of the second physical object to a second virtual location in the virtual space, wherein the first physical location of the first physical object is obtained from the first physical object and the second physical location of the second physical object is obtained from the second physical object;generating a collision signal when the first virtual object in the virtual space overlaps the second virtual object;determining force information in the collision signal according to a volume of an overlapping region of the first virtual object and the second virtual object; andproviding the collision signal to the first physical object such that the first physical object operates in accordance with the collision signal.
2. The metaverse interaction processing method of claim 1, further comprising:providing the collision signal to the second physical object such that the second physical object operates in accordance with the collision signal.
3. The metaverse interaction processing method of claim 1, wherein the operation of generating the collision signal comprises:the overlap region is detected during a collision period, wherein the collision period is initiated upon collision of the first virtual object and the second virtual object with each other.
4. The metaverse interaction processing method of claim 1, wherein an initial distance is predefined between the first virtual location and the second virtual location.
5. The metaverse interaction processing method of claim 1, wherein the operation of mapping the first physical object to the first virtual object in the virtual space comprises:mapping a dimension of the first physical object to a virtual dimension in the virtual space.
6. An electronic device, comprising:one or more processing elements;a memory electrically connected to the one or more processing elements; andone or more programs, wherein the one or more programs are stored in the memory and are configured to be executed by the one or more processing elements, the one or more programs comprising instructions for:mapping a first physical object in a first physical space to a first virtual object in a virtual space;mapping a first physical location of the first physical object to a first virtual location in the virtual space;mapping a second physical object in a second physical space to a second virtual object in the virtual space, wherein the physical space positions of the second physical space and the first physical space are different;mapping a second physical location of the second physical object to a second virtual location in the virtual space, wherein the first physical location of the first physical object is obtained from the first physical object and the second physical location of the second physical object is obtained from the second physical object;generating a collision signal when the first virtual object in the virtual space overlaps the second virtual object;determining force information in the collision signal according to a volume of an overlapping region of the first virtual object and the second virtual object; andproviding the collision signal to the first physical object such that the first physical object operates in accordance with the collision signal.
7. The electronic device of claim 6, wherein the one or more programs further comprise instructions for:providing the collision signal to the second physical object such that the second physical object operates in accordance with the collision signal.
8. The electronic device of claim 6, wherein the operation of generating the collision signal comprises:the overlap region is detected during a collision period, wherein the collision period is initiated upon collision of the first virtual object and the second virtual object with each other.
9. The electronic device of claim 6, wherein an initial distance is predefined between the first virtual location and the second virtual location.
10. The electronic device of claim 6, wherein the operation of mapping the first physical object to the first virtual object in the virtual space comprises:mapping a dimension of the first physical object to a virtual dimension in the virtual space.</t>
  </si>
  <si>
    <t>Chiu, Wei-cheng</t>
  </si>
  <si>
    <t>CN108014492 A</t>
  </si>
  <si>
    <t>A63F0013803000</t>
  </si>
  <si>
    <t>A63F0013803000 | A63F0013577000 | A63F0013280000 | A63F0013400000 | A63F0013950000 | A63F2300572000 | A63F2300801700 | A63F2300808200 | G06F0003011000 | A63F2300643000</t>
  </si>
  <si>
    <t>A63F01328000</t>
  </si>
  <si>
    <t>A63F01328000 | A63F01340000 | A63F01380300 | A63F01395000 | G06F00301000</t>
  </si>
  <si>
    <t>US20180117470A1|CN108014492A|TW201818196A|TWI636380B|US10525355B2|CN108014492B</t>
  </si>
  <si>
    <t>$16601</t>
  </si>
  <si>
    <t>US20180117470 A1 | CN108014492 A | TW201818196 A | TWI636380 B | US10525355 B2 | CN108014492 B</t>
  </si>
  <si>
    <t>I-000166195984</t>
  </si>
  <si>
    <t>20 years from 2017-10-30 (the day prior to the file date)</t>
  </si>
  <si>
    <t>https://patentscout.innography.com/share/GL3sFcyswwZE4mCDEeaVgg%3D%3D</t>
  </si>
  <si>
    <t>2018-05-11-PUBLICATION|2018-06-05-ENTRY INTO FORCE OF REQUEST FOR SUBSTANTIVE EXAMINATION|2021-01-26-PATENT GRANT</t>
  </si>
  <si>
    <t>https://patentscout.innography.com/share/GL3sFcyswwZE4mCDEeaVgg%3D%3D/download</t>
  </si>
  <si>
    <t>https://v3.espacenet.com/publicationDetails/biblio?CC=CN&amp;NR=108014492B&amp;KC=B&amp;FT=D&amp;date=20210126&amp;DB=EPODOC&amp;locale=</t>
  </si>
  <si>
    <t>US20180117470 A1</t>
  </si>
  <si>
    <t>1. A virtual reality interactive processing method is characterized by comprising the following steps:mapping a first physical object in a first physical space to a first virtual object in a virtual space;mapping a first physical location of the first physical object to a first virtual location in the virtual space;mapping a second physical object in a second physical space to a second virtual object in the virtual space, wherein the physical space positions of the second physical space and the first physical space are different;mapping a second physical location of the second physical object to a second virtual location in the virtual space, wherein the first physical location of the first physical object is obtained from the first physical object and the second physical location of the second physical object is obtained from the second physical object;generating a collision signal when the first virtual object in the virtual space overlaps the second virtual object;determining force information in the collision signal according to a volume of an overlapping region of the first virtual object and the second virtual object; andproviding the collision signal to the first physical object such that the first physical object operates in accordance with the collision signal.</t>
  </si>
  <si>
    <t>6. An electronic device, comprising:one or more processing elements;a memory electrically connected to the one or more processing elements; andone or more programs, wherein the one or more programs are stored in the memory and are configured to be executed by the one or more processing elements, the one or more programs comprising instructions for:mapping a first physical object in a first physical space to a first virtual object in a virtual space;mapping a first physical location of the first physical object to a first virtual location in the virtual space;mapping a second physical object in a second physical space to a second virtual object in the virtual space, wherein the physical space positions of the second physical space and the first physical space are different;mapping a second physical location of the second physical object to a second virtual location in the virtual space, wherein the first physical location of the first physical object is obtained from the first physical object and the second physical location of the second physical object is obtained from the second physical object;generating a collision signal when the first virtual object in the virtual space overlaps the second virtual object;determining force information in the collision signal according to a volume of an overlapping region of the first virtual object and the second virtual object; andproviding the collision signal to the first physical object such that the first physical object operates in accordance with the collision signal.</t>
  </si>
  <si>
    <t>2021-01-29</t>
  </si>
  <si>
    <t>2038-01-14</t>
  </si>
  <si>
    <t>2018-09-27</t>
  </si>
  <si>
    <t>An electronic device a display method and a non-transitory computer readable storage medium are provided. The electronic device comprises a display a graphic processing circuit a plurality of sensors and a control circuit. The display is used for displaying a virtual reality scene or an augmented reality scene. The graphics processing circuit is coupled to the display and the graphics processing circuit is used for calculating a plurality of scene blocks in the virtual reality scene or the augmented reality scene. The sensor is used to collect a plurality of parameters of interest. The control circuit is coupled to the sensor and the graphic processing circuit and is suitable for generating an attention map according to the attention parameter wherein the attention map records the priority of the scene blocks. The control circuit further allocates the computational resource distribution of the graphics processing circuit among the plurality of scene blocks according to the priority order. The graphics processing circuit calculates the scene blocks differently according to the distribution of the computing resources. Therefore the electronic device dynamically allocates the operation resources based on the possible attention target of the user and the operation efficiency is improved.</t>
  </si>
  <si>
    <t>Electronic device, display method and non-transitory computer readable storage medium</t>
  </si>
  <si>
    <t>storage medium|readable storage medium|non-transitory computer-readable storage|processing circuit|reality scene|reality|attention map</t>
  </si>
  <si>
    <t>CN201810036654A</t>
  </si>
  <si>
    <t xml:space="preserve">An electronic device, comprising:a display for displaying a virtual reality scene or an augmented reality scene;a graphics processing circuit, coupled to the display, for computing a plurality of scene blocks within the metaverse scene or the augmented reality scene;a plurality of sensors for collecting a plurality of parameters of interest; anda control circuit coupled to the plurality of sensors and the graphics processing circuit, the control circuit configured to:generating an attention map according to the attention parameters, wherein the attention map records the priority of the scene blocks; andallocating an operating resource distribution of the graphics processing circuit among the plurality of scene blocks according to the priority of the plurality of scene blocks within the attention map, wherein the graphics processing circuit differentially calculates the plurality of scene blocks according to the operating resource distribution.
</t>
  </si>
  <si>
    <t>1. An electronic device, comprising:a display for displaying a virtual reality scene or an augmented reality scene;a graphics processing circuit, coupled to the display, for computing a plurality of scene blocks within the metaverse scene or the augmented reality scene;a plurality of sensors for collecting a plurality of parameters of interest; anda control circuit coupled to the plurality of sensors and the graphics processing circuit, the control circuit configured to:generating an attention map according to the attention parameters, wherein the attention map records the priority of the scene blocks; andallocating an operating resource distribution of the graphics processing circuit among the plurality of scene blocks according to the priority of the plurality of scene blocks within the attention map, wherein the graphics processing circuit differentially calculates the plurality of scene blocks according to the operating resource distribution.
2. The electronic device of claim 1, wherein the plurality of parameters of interest include an external parameter and an internal parameter, the external parameter is related to a change of the scene blocks in the metaverse scene or the augmented reality scene, and the internal parameter is related to a line of sight, a posture or a movement of a user of the electronic device.
3. The electronic device of claim 2, wherein the interest map is an immediate interest distribution or a potential interest prediction, and the interest map is generated according to a combination of the external parameter and the internal parameter.
4. The electronic device of claim 1, wherein the sensors comprise a camera for capturing a movement status or an appearance of a real object around the electronic device, and the parameters of interest comprise the movement status or the appearance of the real object.
5. The electronic device of claim 1, wherein the plurality of sensors comprises a microphone for receiving a sound around the electronic device, and the plurality of parameters of interest comprise a start point or a direction of the sound.
6. The electronic device of claim 1, wherein the plurality of sensors includes a bionic olfactory sensor for sensing an odor around the electronic device, and the plurality of parameters of interest include a start point or a direction of the odor.
7. The electronic device of claim 1, wherein the plurality of sensors comprises a scene recorder for recording a continuous playing scene of a visible portion of the metaverse scene or the augmented reality scene, and the plurality of interest parameters comprise a position of the visible portion.
8. The electronic device of claim 1, wherein the sensors comprise a head-mounted camera for capturing a scene in front of a user of the electronic device, and the parameters of interest comprise a real object appearing in the scene or a capturing pose of the head-mounted camera.
9. The electronic device of claim 1, wherein the sensors comprise a gaze tracker configured to detect an eye gaze path of a user of the electronic device, and the parameters of interest comprise a gaze point or a gaze time period in the eye gaze path.
10. The electronic device of claim 1, wherein one of the scene blocks having a first priority is computed at an enhanced level by the graphics processing circuit or another one of the scene blocks having a second priority is computed at a reduced level by the graphics processing circuit according to the computational resource distribution, the first priority being higher than the second priority.
11. The electronic device of claim 10, wherein the enhancement level or the reduction level relates to a texture quality, a number of sampling nodes, a search range, or a focus window used in rendering, identifying, or reconstructing the scene blocks in the metaverse scene or the augmented reality scene.
12. A display method for displaying a virtual reality scene or an augmented reality scene, the display method comprising:collecting a plurality of parameters of interest;generating an attention map according to the attention parameters, wherein the attention map records the priority of a plurality of scene blocks in the virtual reality scene or the augmented reality scene;allocating an operation resource distribution among the plurality of scene blocks according to the priority of the plurality of scene blocks in the attention map; andthe plurality of scene blocks are calculated differentially according to the computational resource distribution.
13. A non-transitory computer readable storage medium having a computer program to perform a method, wherein the method comprises:collecting a plurality of parameters of interest;generating an attention map according to the attention parameters, wherein the attention map records the priority of a plurality of scene blocks in a virtual reality scene or an augmented reality scene;allocating an operation resource distribution among the plurality of scene blocks according to the priority of the plurality of scene blocks in the attention map; andthe plurality of scene blocks are calculated differentially according to the computational resource distribution.</t>
  </si>
  <si>
    <t>Chang, Edward|Huang, Liang-kang|Chen, Chih-yang</t>
  </si>
  <si>
    <t>CN108628436 A</t>
  </si>
  <si>
    <t>G06F0003011000 | G06F0003013000 | G06F0001163000 | G06T0019006000 | G02B0027017000 | G06F0003012000 | G06F0003017000 | G02B2027013800</t>
  </si>
  <si>
    <t>G06F00301000 | G06F00116000 | G06T01900000</t>
  </si>
  <si>
    <t>US20180276894A1|CN108628436A|TW201835750A|US10366540B2|TWI665603B|CN108628436B</t>
  </si>
  <si>
    <t>US20180276894 A1 | CN108628436 A | TW201835750 A | US10366540 B2 | TWI665603 B | CN108628436 B</t>
  </si>
  <si>
    <t>I-000170957550</t>
  </si>
  <si>
    <t>20 years from 2018-01-14 (the day prior to the file date)</t>
  </si>
  <si>
    <t>https://patentscout.innography.com/share/PEI-A92GzivHG5TPfmRtUQ%3D%3D</t>
  </si>
  <si>
    <t>2018-10-09-PUBLICATION|2018-11-02-ENTRY INTO FORCE OF REQUEST FOR SUBSTANTIVE EXAMINATION|2021-01-29-PATENT GRANT</t>
  </si>
  <si>
    <t>https://patentscout.innography.com/share/PEI-A92GzivHG5TPfmRtUQ%3D%3D/download</t>
  </si>
  <si>
    <t>https://v3.espacenet.com/publicationDetails/biblio?CC=CN&amp;NR=108628436B&amp;KC=B&amp;FT=D&amp;date=20210129&amp;DB=EPODOC&amp;locale=</t>
  </si>
  <si>
    <t>CN108628436 B</t>
  </si>
  <si>
    <t>US20180276894 A1</t>
  </si>
  <si>
    <t>1. An electronic device, comprising:a display for displaying a virtual reality scene or an augmented reality scene;a graphics processing circuit, coupled to the display, for computing a plurality of scene blocks within the metaverse scene or the augmented reality scene;a plurality of sensors for collecting a plurality of parameters of interest; anda control circuit coupled to the plurality of sensors and the graphics processing circuit, the control circuit configured to:generating an attention map according to the attention parameters, wherein the attention map records the priority of the scene blocks; andallocating an operating resource distribution of the graphics processing circuit among the plurality of scene blocks according to the priority of the plurality of scene blocks within the attention map, wherein the graphics processing circuit differentially calculates the plurality of scene blocks according to the operating resource distribution.</t>
  </si>
  <si>
    <t>12. A display method for displaying a virtual reality scene or an augmented reality scene, the display method comprising:collecting a plurality of parameters of interest;generating an attention map according to the attention parameters, wherein the attention map records the priority of a plurality of scene blocks in the virtual reality scene or the augmented reality scene;allocating an operation resource distribution among the plurality of scene blocks according to the priority of the plurality of scene blocks in the attention map; andthe plurality of scene blocks are calculated differentially according to the computational resource distribution.</t>
  </si>
  <si>
    <t>13. A non-transitory computer readable storage medium having a computer program to perform a method, wherein the method comprises:collecting a plurality of parameters of interest;generating an attention map according to the attention parameters, wherein the attention map records the priority of a plurality of scene blocks in a virtual reality scene or an augmented reality scene;allocating an operation resource distribution among the plurality of scene blocks according to the priority of the plurality of scene blocks in the attention map; andthe plurality of scene blocks are calculated differentially according to the computational resource distribution.</t>
  </si>
  <si>
    <t>2022-06-16</t>
  </si>
  <si>
    <t>2020-12-06</t>
  </si>
  <si>
    <t>Systems and methods for event outcome validation are provided. The system receives a user input indicative of an event and at least one anticipated outcome of the event to be wagered on by the user. The system receives confirmation data associated with an outcome of the event from at least one confirmation data source confirming the outcome of the event and classifies the confirmation data utilizing at least one machine learning algorithm. The system determines a threshold of confirmation data sources to validate the outcome of the event and utilizes the at least one machine learning algorithm to determine a reduced threshold of confirmation data sources to validate the outcome of the event based on at least one of the classified confirmation data and a confirmation rating of the at least one confirmation data source. The system validates the outcome of the event based on the reduced threshold.</t>
  </si>
  <si>
    <t>Systems and methods for automatic event outcome prediction, confirmation, and validation using machine learning</t>
  </si>
  <si>
    <t>Basch Aaron; Fisher Evan</t>
  </si>
  <si>
    <t>US17/543650</t>
  </si>
  <si>
    <t xml:space="preserve">A system for event outcome validation comprising:
a memory; and
a processor in communication with the memory, the processor:
receiving a user input indicative of an event and at least one anticipated outcome of the event to be wagered on by the user,
receiving confirmation data associated with an outcome of the event from at least one confirmation data source confirming the outcome of the event,
classifying the confirmation data utilizing at least one machine learning algorithm to determine an accuracy of the confirmation data,
determining a threshold of confirmation data sources to validate the outcome of the event,
utilizing the at least one machine learning algorithm to determine a reduced threshold of confirmation data sources to validate the outcome of the event based on at least one of the classified confirmation data and a confirmation rating of the at least one confirmation data source, the confirmation rating being indicative of a historical accuracy of confirmation data received from the at least one confirmation data source, and
validating the outcome of the event based on the reduced threshold.
</t>
  </si>
  <si>
    <t>1. A system for event outcome validation comprising:
a memory; and
a processor in communication with the memory, the processor:
receiving a user input indicative of an event and at least one anticipated outcome of the event to be wagered on by the user,
receiving confirmation data associated with an outcome of the event from at least one confirmation data source confirming the outcome of the event,
classifying the confirmation data utilizing at least one machine learning algorithm to determine an accuracy of the confirmation data,
determining a threshold of confirmation data sources to validate the outcome of the event,
utilizing the at least one machine learning algorithm to determine a reduced threshold of confirmation data sources to validate the outcome of the event based on at least one of the classified confirmation data and a confirmation rating of the at least one confirmation data source, the confirmation rating being indicative of a historical accuracy of confirmation data received from the at least one confirmation data source, and
validating the outcome of the event based on the reduced threshold.
2. The system of claim 1, wherein the processor
determines, based on the user input, whether the event is available to be wagered on by the user,
generates the event, based on the user input, when the event is unavailable to be wagered on by the user,
updates the event, based on the user input, when the event is available to be wagered on by the user, and
selects the generated or updated event.
3. The system of claim 1, wherein the processor classifies the confirmation data utilizing the at least one machine learning algorithm to determine the accuracy of the confirmation data by
filtering the confirmation data into event types,
categorizing the filtered confirmation data based on a plurality of variables
ranking the categorized confirmation data, and
storing the ranked confirmation data.
4. The system of claim 1, wherein the processor
determines a population size associated with the outcome of the event,
determines the threshold of confirmation data sources to validate the outcome of the event based on the population size and a first plurality of variables, and
utilizes the at least one machine learning algorithm to determine the reduced threshold of confirmation data sources to validate the outcome of the event by scaling for the population size and a second plurality of variables based on at least one of the classified confirmation data and the confirmation rating.
5. The system of claim 1, wherein the processor
receives prediction data associated with the anticipated outcome of the event from at least one prediction data source,
classifies the prediction data utilizing the at least one machine learning algorithm in association with the anticipated outcome of the event to determine an accuracy of the prediction data, and
determines a prediction rating of the at least one prediction data source, the prediction rating being indicative of a historical accuracy of the prediction data received from the at least one prediction data source.
6. The system of claim 5, wherein the processor classifies the prediction data utilizing the at least one machine learning algorithm in association with the anticipated outcome of the event to determine the accuracy of the prediction data by
filtering the prediction data into event types,
categorizing the filtered prediction data based on a plurality of variables, and
ranking the categorized prediction data, and
storing the ranked prediction data.
7. The system of claim 1, wherein the processor determines and displays odds associated with the anticipated outcome of the event by
receiving a user input indicative of wager data for the anticipated outcome of the event,
determining whether a received volume of wager data for the event is greater than a first predetermined threshold,
displaying real odds associated with the anticipated outcome of the event when the received volume of wager data for the event is greater than the first predetermined threshold.
8. The system of claim 5, wherein the processor determines and displays predicted odds associated with the anticipated outcome of the event by
determining whether at least one of the classified prediction data and the prediction rating of the at least one prediction data source is greater than a predetermined threshold, and
displaying the predicted odds associated with the anticipated outcome of the event when at least one of the classified prediction data and the prediction rating of the at least one prediction data source is greater than the predetermined threshold, wherein
the predicted odds are indicative of data sourced internally within the system.
9. The system of 5, wherein the processor determines and displays projected odds associated with the anticipated outcome of the event by
determining whether at least one of the classified prediction data and the prediction rating of the at least one prediction data source is greater than a predetermined threshold, and
displaying the projected odds associated with the anticipated outcome of the event when at least one of the classified prediction data and the prediction rating of the at least one prediction data source is greater than the predetermined threshold, wherein
the projected odds are indicative of data initially sourced externally to the system.
10. The system of claim 5, wherein the processor identifies and displays at least one of a wager buying opportunity and a wager selling opportunity by utilizing the classified prediction data, the prediction rating, and a volume of received wager data associated with the anticipated outcome of the event, the wager opportunity being indicative of at least one of an optimal purchase or sales price and volume on the anticipated outcome of the event within a given wager pool, an arbitrage opportunity based on the event, or an aggregate outcome tiered volume control to control outsized exposure associated with the anticipated outcome of the event.
11. The system of claim 1, wherein the processor validates the outcome of the event when at least one of the classified confirmation data and the confirmation rating of the at least one confirmation data source is greater than the reduced threshold.
12. The system of claim 1, wherein the processor processes payment to the user based on the validated outcome of the event.
13. The system of claim 5, wherein the processor adjusts the prediction rating of the at least one prediction data source based on the classified prediction data by
determining whether the received prediction data is correct based on the validated outcome of the event,
increasing the prediction rating of the at least one prediction data source when the prediction data is validated, and
decreasing the prediction rating of the at least one prediction data source when the user prediction data is not validated.
14. The system of claim 13, wherein the processor adjusts a prediction rating status of the at least one prediction data source by
determining whether the prediction rating is greater than a predetermined threshold,
increasing the prediction rating status of the at least one prediction data source when the prediction rating is greater than the predetermined threshold, and
decreasing the prediction rating status of the at least one prediction data source when the prediction rating is less than the predetermined threshold, wherein
the prediction rating status is indicative of a status level within the system for prediction data.
15. The system of claim 1, wherein the processor adjusts a confirmation rating based on the classified confirmation data by
determining whether the received confirmation data is correct based on the validated outcome of the event,
increasing the confirmation rating of the at least one confirmation data source when the confirmation data is validated, and
decreasing the confirmation rating of the at least one confirmation data source when the confirmation data is not validated.
16. The system of claim 15, wherein the processor adjusts a confirmation rating status of the at least one confirmation data source by
determining whether the confirmation rating is greater than a predetermined threshold,
increasing the confirmation rating status of the at least one confirmation data source when the confirmation rating is greater than the predetermined threshold, and
decreasing the confirmation rating status of the at least one confirmation data source when the confirmation rating is less than the predetermined threshold, wherein
the confirmation rating status is indicative of a status level within the system for confirmation data.
17. The system of claim 1, wherein the event is at least one of an athletic competition, a gaming competition, an online gaming competition, a regulated wagering competition or event, a performance competition, a vehicular competition, a political contest, an entertainment competition or show, a local competition, a national competition, an international competition, a recreational competition, a climate or weather forecast, a financial forecast, a virtual event, a metaverse event, a metaverse gaming contest, a currency valuation, a non-fungible token gaming experience, a non-fungible token gaming contest, a non-fungible token value, and a value of a rare object such as a trading card, a metal, a coin, and a gem.
18. The system of claim 1, wherein the at least one machine learning algorithm is one or more of a simple linear regression, a linear regression, a logistic regression, a binary regression, a polynomial regression, a support vector regression, a decision tree regression, ordinary least square regression, k-means, an ensemble method, an apiori algorithm, a principal component analysis, a singular value decomposition, reinforcement or semi-supervised machine learning, independent component analysis, supervised learning, unsupervised learning, a naive bayes, a bayesian statistical technique, a random forest, a neural network, a support vector machine, and a natural language processing technique.
19. The system of claim 1, wherein the at least one confirmation data source is one of a user, an administrator, an odds provider, a broadcasting network, a broadcaster, a journalist, a sponsor, a social media user, a third party data provider, scraped internet data, manually sourced data, and an industry expert.
20. The system of claim 5, wherein the at least one prediction data source is one of a user, an administrator, an odds provider, a broadcasting network, a broadcaster, a journalist, a sponsor, a social media user, a third party data provider, scraped internet data, manually sourced data, and an industry expert.
21. A method for event outcome validation, comprising the steps of:
receiving a user input indicative of an event and at least one anticipated outcome of the event to be wagered on by the user,
receiving confirmation data associated with at least one outcome of the event from at least one confirmation data source confirming the outcome of the event,
classifying the confirmation data utilizing at least one machine learning algorithm to determine an accuracy of the confirmation data,
determining a threshold of confirmation data sources to validate the outcome of the event,
utilizing the at least one machine learning algorithm to determine a reduced threshold of confirmation data sources to validate the outcome of the event based on at least one of the classified confirmation data and a confirmation rating of the at least one confirmation data source, the confirmation rating being indicative of a historical accuracy of confirmation data received from the at least one confirmation data source, and
validating the outcome of the event based on the reduced threshold.
22. The method of claim 21, further comprising the steps of
determining, based on the user input, whether the event is available to be wagered on by the user,
generating the event, based on the user input, when the event is unavailable to be wagered on by the user,
updating the event, based on the user input, when the event is available to be wagered on by the user, and
selecting the generated or updated event.
23. The method of claim 21, wherein the step of classifying the confirmation data utilizing the at least one machine learning algorithm to determine the accuracy of the confirmation data further comprises the steps of
filtering the confirmation data into event types,
categorizing the filtered confirmation data based on a plurality of variables
ranking the categorized confirmation data, and
storing the ranked confirmation data.
24. The method of claim 21, further comprising the steps of
determining a population size associated with the outcome of the event,
determining the threshold of confirmation data sources to validate the outcome of the event based on the population size and a first plurality of variables, and
utilizing the at least one machine learning algorithm to determine the reduced threshold of confirmation data sources to validate the outcome of the event by scaling for the population size and a second plurality of variables based on at least one of the classified confirmation data and the confirmation rating.
25. The method of claim 21, further comprising the steps of
receiving prediction data associated with the anticipated outcome of the event from at least one prediction data source,
classifying the prediction data utilizing the at least one machine learning algorithm in association with the anticipated outcome of the event to determine an accuracy of the prediction data, and
determining a prediction rating of the at least one prediction data source, the prediction rating being indicative of a historical accuracy of the prediction data received from the at least one prediction data source.
26. The method of claim 25, wherein the step of classifying the prediction data utilizing the at least one machine learning algorithm in association with the anticipated outcome of the event to determine the accuracy of the prediction data further comprises the steps of
filtering the prediction data into event types,
categorizing the filtered prediction data based on a plurality of variables,
ranking the categorized prediction data, and
storing the ranked prediction data.
27. The method of claim 21, further comprising the step of determining and displaying odds associated with the anticipated outcome of the event by
receiving a user input indicative of wager data for the anticipated outcome of the event,
determining whether a received volume of wager data for the event is greater than a first predetermined threshold,
displaying real odds associated with the anticipated outcome of the event when the received volume of wager data for the event is greater than the first predetermined threshold.
28. The method of claim 25, further comprising the step of determining and displaying predicted odds associated with the anticipated outcome of the event by
determining whether at least one of the classified prediction data and the prediction rating of the at least one prediction data source is greater than a predetermined threshold, and
displaying the predicted odds associated with the anticipated outcome of the event when at least one of the classified prediction data and the prediction rating of the at least one prediction data source is greater than the predetermined threshold, wherein
the predicted odds are indicative of data sourced internally within the system.
29. The method of 25, wherein the processor determines and displays projected odds associated with an anticipated outcome of the event by
determining whether at least one of the classified prediction data and the prediction rating of the at least one prediction data source is greater than a predetermined threshold, and
displaying the projected odds associated with the anticipated outcome of the event when at least one of the classified prediction data and the prediction rating of the at least one prediction data source is greater than the predetermined threshold, wherein
the projected odds are indicative of data initially sourced externally to the system.
30. The method of claim 25, further comprising the step of identifying and displaying at least one of a wager buying opportunity and a wager selling opportunity by utilizing the classified prediction data, the prediction rating, and a volume of received wager data associated with the anticipated outcome of the event, the wager opportunity being indicative of at least one of an optimal purchase or sales price and volume on the anticipated outcome of the event within a given wager pool, an arbitrage opportunity based on the event, or an aggregate outcome tiered volume control to control outsized exposure associated with the anticipated outcome of the event.
31. The method of claim 21, further comprising the step of validating the outcome of the event when at least one of the classified confirmation data and the confirmation rating of the at least one confirmation data source is greater than the reduced threshold.
32. The method of claim 21, further comprising the step of processing payment to the user based on the validated outcome of the event.
33. The method of claim 25, further comprising the step of adjusting the prediction rating of the at least one prediction data source based on the classified prediction data by
determining whether the received prediction data is correct based on the validated outcome of the event,
increasing the prediction rating of the at least one prediction data source when the prediction data is validated, and
decreasing the prediction rating of the at least one prediction data source when the user prediction data is not validated.
34. The method of claim 33, further comprising the step of adjusting a prediction rating status of the at least one prediction data source by
determining whether the prediction rating is greater than a predetermined threshold,
increasing the prediction rating status of the at least one prediction data source when the prediction rating is greater than the predetermined threshold, and
decreasing the prediction rating status of the at least one prediction data source when the prediction rating is less than the predetermined threshold, wherein
the prediction rating status is indicative of a status level within the system for prediction data.
35. The method of claim 21, further comprising the step of adjusting a confirmation rating based on the classified confirmation data by
determining whether the received confirmation data is correct based on the validated outcome of the event,
increasing the confirmation rating of the at least one confirmation data source when the confirmation data is validated, and
decreasing the confirmation rating of the at least one confirmation data source when the confirmation data is not validated.
36. The method of claim 35, further comprising the step of adjusting a confirmation rating status of the at least one confirmation data source by
determining whether the confirmation rating is greater than a predetermined threshold,
increasing the confirmation rating status of the at least one confirmation data source when the confirmation rating is greater than the predetermined threshold, and
decreasing the confirmation rating status of the at least one confirmation data source when the confirmation rating is less than the predetermined threshold, wherein
the confirmation rating status is indicative of a status level within the system for confirmation data.
37. The method of claim 21, wherein the event is at least one of an athletic competition, a gaming competition, an online gaming competition, a regulated wagering competition or event, a performance competition, a vehicular competition, a political contest, an entertainment competition or show, a local competition, a national competition, an international competition, a recreational competition, a climate or weather forecast, a financial forecast, a virtual event, a metaverse event, a metaverse gaming contest, a currency valuation, a non-fungible token gaming experience, a non-fungible token gaming contest, a non-fungible token value, and a value of a rare object such as a trading card, a metal, a coin, and a gem.
38. The method of claim 21, wherein the at least one machine learning algorithm is one or more of a simple linear regression, a linear regression, a logistic regression, a binary regression, a polynomial regression, a support vector regression, a decision tree regression, ordinary least square regression, k-means, an ensemble method, an apiori algorithm, a principal component analysis, a singular value decomposition, reinforcement or semi-supervised machine learning, independent component analysis, supervised learning, unsupervised learning, a naive bayes, a random forest, a neural network, a support vector machine, and a natural language processing technique.
39. The method of claim 21, wherein the at least one confirmation data source is one of a user, an administrator, an odds provider, a broadcasting network, a broadcaster, a journalist, a sponsor, a social media user, a third party data provider, scraped internet data, manually sourced data, and an industry expert.
40. The method of claim 25, wherein the at least one prediction data source is one of a user, an administrator, an odds provider, a broadcasting network, a broadcaster, a journalist, a sponsor, a social media user, a third party data provider, scraped internet data, manually sourced data, and an industry expert.
41. A non-transitory, computer-readable medium having computer readable instructions stored thereon for event outcome validation which, when executed by a processor, causes the processor to carry out the steps of:
receiving a user input indicative of an event and at least one anticipated outcome of the event to be wagered on by the user,
receiving confirmation data associated with at least one outcome of the event from at least one confirmation data source confirming the outcome of the event,
classifying the confirmation data utilizing at least one machine learning algorithm to determine an accuracy of the confirmation data,
determining a threshold of confirmation data sources to validate the outcome of the event,
utilizing the at least one machine learning algorithm to determine a reduced threshold of confirmation data sources to validate the outcome of the event based on at least one of the classified confirmation data and a confirmation rating of the at least one confirmation data source, the confirmation rating being indicative of a historical accuracy of confirmation data received from the at least one confirmation data source, and
validating the outcome of the event based on the reduced threshold.</t>
  </si>
  <si>
    <t>Basch, Aaron|Fisher, Evan</t>
  </si>
  <si>
    <t>G06N0005040000</t>
  </si>
  <si>
    <t>G06N0005040000 | G07F0017324100 | G06N0005022000 | G06Q0050010000 | G06Q0050340000 | G06N0003080000 | G06N0005003000 | G06N0007005000 | G06N0020100000 | G06N0020200000</t>
  </si>
  <si>
    <t>G06N00504000</t>
  </si>
  <si>
    <t>G06N00504000 | G06N00502000 | G06Q05000000 | G06Q05034000 | G07F01732000</t>
  </si>
  <si>
    <t>US20220188672A1</t>
  </si>
  <si>
    <t>US20220188672 A1</t>
  </si>
  <si>
    <t>I-000226295494</t>
  </si>
  <si>
    <t>https://patentscout.innography.com/share/nQ6ojDpSuoA_LqQTXY_bqA%3D%3D</t>
  </si>
  <si>
    <t>2022-03-16-INFORMATION ON STATUS: PATENT APPLICATION AND GRANTING PROCEDURE IN GENERAL</t>
  </si>
  <si>
    <t>https://patentscout.innography.com/share/nQ6ojDpSuoA_LqQTXY_bqA%3D%3D/download</t>
  </si>
  <si>
    <t>https://ppubs.uspto.gov/pubwebapp/external.html?q=20220188672.pn.</t>
  </si>
  <si>
    <t>1. A system for event outcome validation comprising:
a memory; and
a processor in communication with the memory, the processor:
receiving a user input indicative of an event and at least one anticipated outcome of the event to be wagered on by the user,
receiving confirmation data associated with an outcome of the event from at least one confirmation data source confirming the outcome of the event,
classifying the confirmation data utilizing at least one machine learning algorithm to determine an accuracy of the confirmation data,
determining a threshold of confirmation data sources to validate the outcome of the event,
utilizing the at least one machine learning algorithm to determine a reduced threshold of confirmation data sources to validate the outcome of the event based on at least one of the classified confirmation data and a confirmation rating of the at least one confirmation data source, the confirmation rating being indicative of a historical accuracy of confirmation data received from the at least one confirmation data source, and
validating the outcome of the event based on the reduced threshold.</t>
  </si>
  <si>
    <t>9. The system of 5, wherein the processor determines and displays projected odds associated with the anticipated outcome of the event by
determining whether at least one of the classified prediction data and the prediction rating of the at least one prediction data source is greater than a predetermined threshold, and
displaying the projected odds associated with the anticipated outcome of the event when at least one of the classified prediction data and the prediction rating of the at least one prediction data source is greater than the predetermined threshold, wherein
the projected odds are indicative of data initially sourced externally to the system.</t>
  </si>
  <si>
    <t>21. A method for event outcome validation, comprising the steps of:
receiving a user input indicative of an event and at least one anticipated outcome of the event to be wagered on by the user,
receiving confirmation data associated with at least one outcome of the event from at least one confirmation data source confirming the outcome of the event,
classifying the confirmation data utilizing at least one machine learning algorithm to determine an accuracy of the confirmation data,
determining a threshold of confirmation data sources to validate the outcome of the event,
utilizing the at least one machine learning algorithm to determine a reduced threshold of confirmation data sources to validate the outcome of the event based on at least one of the classified confirmation data and a confirmation rating of the at least one confirmation data source, the confirmation rating being indicative of a historical accuracy of confirmation data received from the at least one confirmation data source, and
validating the outcome of the event based on the reduced threshold.</t>
  </si>
  <si>
    <t>29. The method of 25, wherein the processor determines and displays projected odds associated with an anticipated outcome of the event by
determining whether at least one of the classified prediction data and the prediction rating of the at least one prediction data source is greater than a predetermined threshold, and
displaying the projected odds associated with the anticipated outcome of the event when at least one of the classified prediction data and the prediction rating of the at least one prediction data source is greater than the predetermined threshold, wherein
the projected odds are indicative of data initially sourced externally to the system.</t>
  </si>
  <si>
    <t>41. A non-transitory, computer-readable medium having computer readable instructions stored thereon for event outcome validation which, when executed by a processor, causes the processor to carry out the steps of:
receiving a user input indicative of an event and at least one anticipated outcome of the event to be wagered on by the user,
receiving confirmation data associated with at least one outcome of the event from at least one confirmation data source confirming the outcome of the event,
classifying the confirmation data utilizing at least one machine learning algorithm to determine an accuracy of the confirmation data,
determining a threshold of confirmation data sources to validate the outcome of the event,
utilizing the at least one machine learning algorithm to determine a reduced threshold of confirmation data sources to validate the outcome of the event based on at least one of the classified confirmation data and a confirmation rating of the at least one confirmation data source, the confirmation rating being indicative of a historical accuracy of confirmation data received from the at least one confirmation data source, and
validating the outcome of the event based on the reduced threshold.</t>
  </si>
  <si>
    <t>2021-03-31</t>
  </si>
  <si>
    <t>2022-02-18</t>
  </si>
  <si>
    <t>2042-02-18</t>
  </si>
  <si>
    <t>Some embodiments relate to systems and methods for real estate transactions. The system includes at least one database and a sales module. The sales module is configured to cause to be displayed a list of available modular homes for purchase from the at least one database. Additionally the sales module is configured to receive at least one specification of a first modular home available for purchase from the list of available modular homes. The sales module is also configured to determine available land for purchase from the at least one database based on the at least one specification of the first modular home. The system includes a notification module configured to automatically notify a user when land becomes available that matches the at least one specification of the first modular home.</t>
  </si>
  <si>
    <t>Systems and methods for real estate transactions</t>
  </si>
  <si>
    <t>Starr Basil</t>
  </si>
  <si>
    <t>US17/675940</t>
  </si>
  <si>
    <t xml:space="preserve">A system for real estate transactions, the system comprising:
at least one database;
a sales module configured to:
cause to be displayed a list of available modular homes for purchase from the at least one database,
receive at least one specification of a first modular home available for purchase from the list of available modular homes,
determine available land for purchase from the at least one database based on the at least one specification of the first modular home; and
a notification module configured to automatically notify a user when land becomes available that matches the at least one specification of the first modular home.
</t>
  </si>
  <si>
    <t>1. A system for real estate transactions, the system comprising:
at least one database;
a sales module configured to:
cause to be displayed a list of available modular homes for purchase from the at least one database,
receive at least one specification of a first modular home available for purchase from the list of available modular homes,
determine available land for purchase from the at least one database based on the at least one specification of the first modular home; and
a notification module configured to automatically notify a user when land becomes available that matches the at least one specification of the first modular home.
2. The system of claim 1, further comprising automatically creating one or more artistic non-fungible tokens (NFTs) upon completion of a home purchase or completion of a down-payment of a home.
3. The system of claim 1, further comprising integrating the system into a partner metaverses, wherein the list of available modular homes comprises a list of virtual modular homes, the first modular home comprises a first virtual modular home, the available land comprises available virtual land, the land comprises virtual land, and wherein the system is further configured to displaying available virtual land that fits one or more specifications set by a buyer of a virtual home.
4. The system of claim 3, wherein the sales module is further configured to determine available virtual land in partner metaverses available for purchase based on characteristics of a 3D NFT rendering of a buyer's modular home.
5. The system of claim 4, further comprising a rendering module configured to render the first modular home based on one or more specifications of the first modular home.
6. The system of claim 5, wherein a 3D rendering of a home informed by data processed by the rendering module is minted into an NFT.
7. The system of claim 1, further configured to create a legal entity and one or more non-fungible tokens.
8. The system of claim 7, further configured to automatically transfers ownership of the legal entity to the non-fungible tokens and subsequently transfers ownership of a non-fungible token to a purchaser of a modular home.
9. The system of claim 1, wherein the sales module is further configured to determine available lands for purchase based on at least one user preference.
10. The system of claim 1, further comprising a rendering module configured to render to scale the first modular home and an available land selected by the user.
11. A method for real estate transactions, the method comprising:
causing a list of available modular homes for purchase from at least one database to be displayed;
receiving at least one specification of a first modular home available for purchase from the list of available modular homes;
determining available land for purchase from the at least one database based on the at least one specification of the first modular home; and
notifying a user when land becomes available that matches the at least one specification of the first modular home automatically.
12. The method of claim 11, further comprising automatically creating one or more artistic non-fungible tokens (NFTs) upon completion of a home purchase or completion of a down-payment of a home.
13. The method of claim 11, further comprising integrating the method into a partner metaverses, wherein the list of available modular homes comprises a list of virtual modular homes, the first modular home comprises a first virtual modular home, the available land comprises available virtual land, the land comprises virtual land, and wherein the method is further configured to displaying available virtual land that fits one or more specifications set by a buyer of a virtual home.
14. The method of claim 13, further comprising determining available virtual land in partner metaverses available for purchase based on characteristics of a 3D NFT rendering of a buyer's modular home.
15. The method of claim 14, further comprising rendering the first modular home based on one or more specifications of the first modular home.
16. The method of claim 11, further comprising creating a legal entity and one or more non-fungible tokens.
17. The method of claim 16, further comprising automatically transferring ownership of the legal entity to the non-fungible tokens and subsequently transferring ownership of a non-fungible token to a purchaser of a modular home.
18. The method of claim 11, further comprising determining available lands for purchase based on at least one user preference.
19. The method of claim 11, further comprising rendering to scale the first modular home and an available land selected by the user.
20. A computer program product for real estate transactions, comprising: a non-transitory computer-readable medium comprising code for:
causing a list of available modular homes for purchase from at least one database to be displayed;
receiving at least one specification of a first modular home available for purchase from the list of available modular homes;
determining available land for purchase from the at least one database based on the at least one specification of the first modular home; and
notifying a user when land becomes available that matches the at least one specification of the first modular home automatically.</t>
  </si>
  <si>
    <t>Starr, Basil</t>
  </si>
  <si>
    <t>G06Q0050160000</t>
  </si>
  <si>
    <t>G06Q05016000</t>
  </si>
  <si>
    <t>US20220318935A1</t>
  </si>
  <si>
    <t>US20220318935 A1</t>
  </si>
  <si>
    <t>I-000230462878</t>
  </si>
  <si>
    <t>20 years from 2022-02-18 (file date)</t>
  </si>
  <si>
    <t>https://patentscout.innography.com/share/6OgZ_aEsXPhH3vWPS-QBWQ%3D%3D</t>
  </si>
  <si>
    <t>2022-05-18-INFORMATION ON STATUS: PATENT APPLICATION AND GRANTING PROCEDURE IN GENERAL</t>
  </si>
  <si>
    <t>https://patentscout.innography.com/share/6OgZ_aEsXPhH3vWPS-QBWQ%3D%3D/download</t>
  </si>
  <si>
    <t>https://ppubs.uspto.gov/pubwebapp/external.html?q=20220318935.pn.</t>
  </si>
  <si>
    <t>1. A system for real estate transactions, the system comprising:
at least one database;
a sales module configured to:
cause to be displayed a list of available modular homes for purchase from the at least one database,
receive at least one specification of a first modular home available for purchase from the list of available modular homes,
determine available land for purchase from the at least one database based on the at least one specification of the first modular home; and
a notification module configured to automatically notify a user when land becomes available that matches the at least one specification of the first modular home.</t>
  </si>
  <si>
    <t>11. A method for real estate transactions, the method comprising:
causing a list of available modular homes for purchase from at least one database to be displayed;
receiving at least one specification of a first modular home available for purchase from the list of available modular homes;
determining available land for purchase from the at least one database based on the at least one specification of the first modular home; and
notifying a user when land becomes available that matches the at least one specification of the first modular home automatically.</t>
  </si>
  <si>
    <t>20. A computer program product for real estate transactions, comprising: a non-transitory computer-readable medium comprising code for:
causing a list of available modular homes for purchase from at least one database to be displayed;
receiving at least one specification of a first modular home available for purchase from the list of available modular homes;
determining available land for purchase from the at least one database based on the at least one specification of the first modular home; and
notifying a user when land becomes available that matches the at least one specification of the first modular home automatically.</t>
  </si>
  <si>
    <t>JP2021051585 A | US20200005284 A1 | US20200186332 A1 | WO2019137408 A1</t>
  </si>
  <si>
    <t>2022-04-21</t>
  </si>
  <si>
    <t>The present application relates to systems and methods for creating Non-Fungible Digital Twins (NFDT) of objects. The objects may be digital objects or real work assets which change over time or have properties (e.g. carbon emissions) that change over time. An initial or birth NFT smart contract is created and published which is a digital twin of the object and as the object changes the changes are published to subsequent NFT smart contracts with a link to the previous smart contract or the birth smart contract such that the birth smart contract and plurality of subsequent object contracts form a time series of object smart contracts which define a dynamic unique Non-Fungible Digital Twin (NFDT) representation of the object.</t>
  </si>
  <si>
    <t>Method and system for creating non-fungible digital twins (nfdt) of objects</t>
  </si>
  <si>
    <t>smart contract|twin|attribute value|information package</t>
  </si>
  <si>
    <t>Asia Green Fund Management Limited; Metaverse Green Exchange Pte. Ltd.</t>
  </si>
  <si>
    <t>Asia Green Fund Management Limited</t>
  </si>
  <si>
    <t>ASIA GREEN FUND MANAGEMENT LIMITED</t>
  </si>
  <si>
    <t>SG2022050242W</t>
  </si>
  <si>
    <t>1. A method for generating a dynamic Non-Fungible Digital Twin (NFDT) representation of an asset, comprising: generating and storing an information package at a report address, wherein the information package comprises information defining a digital twin of an asset including at least one attribute value; cryptographically signing the information package and obtaining a hash for authenticating the information package; generating a birth asset smart contract by inputting at least an asset identifier, the report address, and the hash of the information package to an asset smart contract stored on a blockchain which publishes the birth asset smart contract to the blockchain at a birth address and contains at least the inputted information and a non fungible token generated by the asset smart contract; generating and storing at least one subsequent information package at a subsequent report address, wherein each subsequent information package comprises information regarding the asset including either a change in the at least one attribute value of the asset, or a current value of the at least one attribute value where each subsequent information package is generated at a different time; cryptographically signing each subsequent information package and obtaining a hash for authenticating the subsequent information package; and generating a plurality of subsequent asset smart contacts by inputting, for each subsequent information package, at least an asset identifier, the subsequent report address, and the hash of the subsequent information package to the asset smart contract stored on a blockchain which publishes a subsequent asset smart contract to the blockchain at a subsequent address and contains at least the inputted information, a non fungible token generated by the asset smart contract and a link to an address on the blockchain of a previous asset smart contract or the birth asset smart contract such that the published birth smart contract and one or more subsequent asset contracts form a time series of asset smart contracts which define a unique Non-Fungible Digital Twin (NFDT) representation of the asset.</t>
  </si>
  <si>
    <t>1. A method for generating a dynamic Non-Fungible Digital Twin (NFDT) representation of an asset, comprising: generating and storing an information package at a report address, wherein the information package comprises information defining a digital twin of an asset including at least one attribute value; cryptographically signing the information package and obtaining a hash for authenticating the information package; generating a birth asset smart contract by inputting at least an asset identifier, the report address, and the hash of the information package to an asset smart contract stored on a blockchain which publishes the birth asset smart contract to the blockchain at a birth address and contains at least the inputted information and a non fungible token generated by the asset smart contract; generating and storing at least one subsequent information package at a subsequent report address, wherein each subsequent information package comprises information regarding the asset including either a change in the at least one attribute value of the asset, or a current value of the at least one attribute value where each subsequent information package is generated at a different time; cryptographically signing each subsequent information package and obtaining a hash for authenticating the subsequent information package; and generating a plurality of subsequent asset smart contacts by inputting, for each subsequent information package, at least an asset identifier, the subsequent report address, and the hash of the subsequent information package to the asset smart contract stored on a blockchain which publishes a subsequent asset smart contract to the blockchain at a subsequent address and contains at least the inputted information, a non fungible token generated by the asset smart contract and a link to an address on the blockchain of a previous asset smart contract or the birth asset smart contract such that the published birth smart contract and one or more subsequent asset contracts form a time series of asset smart contracts which define a unique Non-Fungible Digital Twin (NFDT) representation of the asset. 
2. The method as claimed in claim 1, wherein the report address is a Uniform Resource Identifier (URI) address or a Uniform Resource Locator (URL) address.
3. The method as claimed in claim 1 or 2, wherein generating the birth asset smart contract further comprises inputting the at least one attribute value, and when generating each subsequent asset smart contract the change in the at least one attribute value of the asset, or a current value of the at least one attribute value is also input into the asset smart contract.
4. The method as claimed in claim 1, 2 or 3, further comprising automated monitoring of the asset to detect a change in at least one of the at least one attribute value and either periodically or on detection of a threshold change, publishing a subsequent information package containing the change in the at least one attribute value or the current value of the attribute value which triggers publishing of a subsequent asset smart contact based on the update to the attribute value.
5. The method claimed in any one of claims 1 to 4, wherein the at least one attribute value is a tradeable characteristic of the asset.
6. The method as claimed in claim 5, wherein after each subsequent asset smart contract is published the method further comprises generating a plurality of Asset Backed Tokens (ABTs) by executing a ABT smart contract stored on the blockchain, wherein an amount of ABTs issued is determined from the change in the at least one attribute value in the asset smart contract, or each ABT issued represents a fractional ownership of the NFDT and the underlying asset, and the ABT smart contract contains a link to the respective asset smart contract.
7. The method as claimed in claim 6, further comprising storing the plurality of ABTs and offering one or more of the plurality of ABTs for trading on a trading exchange.
8. The method claimed in claim 7, wherein the at least one attribute value is a carbon footprint of the asset and represents carbon emissions and/or carbon reductions measured in tonnes of C02 equivalent (tC02e), and the ABT is a carbon neutrality token (CNT) such that the NFDT is a digital twin of the underlying carbon credits applicable for trading. 
9. The method as claimed in claim 8, wherein one or more of the information packages contains information regarding a carbon offsetting action in a first country, a carbon emission reduction certificate from an issuing authority in a first country in relation to the carbon offsetting action which generated an amount of verified carbon emission reductions, and a redemption certificate which prevents further trading of the carbon emission reduction certificate in an issuing country where the issuing country may be the first country or a different country.
10. The method as claimed in claim 9 wherein the method is implemented by a Carbon Registry which stores a plurality of NFDTs for a plurality of assets in the first country and which acts as the issuing authority.
11. The method as claimed in claim 5, wherein the at least one attribute value is a carbon footprint of the asset and represents carbon emissions and/or carbon reductions measured in tonnes of C02 equivalent (tC02e), such that the NFDT is a digital twin of the underlying carbon neutrality status of the asset, and wherein the method is implemented by a Carbon Registry which is further configured to issue voluntary emission reduction certificates and redemption certificates to an asset owner based on the NFDT of the respective asset.
12. The method as claimed in any one of claims 1 to 5 or 11, further comprising generating a plurality of Asset Backed Tokens (ABTs) by executing a ABT smart contract stored on the blockchain, wherein the ABT contains a link to the respective asset smart contract, and one or more of the plurality of ABTs are offered for trading on a trading exchange.
13. The method as claimed in any one of claims 1 to 12, wherein each asset smart contract further includes an identifier of an owner of the asset and one or more of the at least one attribute values includes an attribute value related to a title or other proof of ownership by the owner.
14. The method as claimed in any one of claims 1 to 13 wherein the NFDT is used to represent the asset in a Metaverse comprising a digital representation of a plurality of real world objects.
15. The method as claimed in any one of claims 1 to 14, wherein the blockchain is an Ethereum blockchain, and the asset smart contract is based on the ERC721 standard. 
16. A computational system comprising: a plurality of computing apparatus comprising one or more processors, one or more memories, one or more storage devices, and one or more interfaces wherein the one or more interfaces are configured to: generate and store an information package at a report address, wherein the information package comprises information defining a digital twin of an asset including at least one attribute value; cryptographically signing the information package and obtaining a hash for authenticating the information package; generating a birth asset smart contract by inputting at least an asset identifier, the report address, and the hash of the information package to an asset smart contract stored on a blockchain which publishes the birth asset smart contract to the blockchain at a birth address and contains at least the inputted information and a non fungible token generated by the asset smart contract; generating and storing at least one subsequent information package at a subsequent report address, wherein each subsequent information package comprises information regarding the asset including either a change in the at least one attribute value of the asset, or a current value of the at least one attribute value, where each subsequent information package is generated at a different time; cryptographically signing each subsequent information package and obtaining a hash for authenticating the subsequent information package; and generating a plurality of subsequent asset smart contacts by inputting, for each subsequent information package, at least an asset identifier, the subsequent report address, and the hash of the subsequent information package to the asset smart contract stored on a blockchain which publishes a subsequent asset smart contract to the blockchain at a subsequent address and contains at least the inputted information, a non fungible token generated by the asset smart contract and a link to an address on the blockchain of a previous asset smart contract or the birth asset smart contract such that the published birth smart contract and one or more subsequent asset contracts form a time series of asset smart contracts which define a unique Non-Fungible Digital Twin (NFDT) representation of the asset. 
17. The system as claimed in claim 16, wherein the report address is a Uniform Resource Identifier (URI) address or a Uniform Resource Locator (URL) address.
18. The system as claimed in claim 16 or 17, wherein generating the birth asset smart contract further comprises inputting the at least one attribute value, and when generating each subsequent asset smart contract the change in the at least one attribute value of the asset, or a current value of the at least one attribute value is also input into the asset smart contract.
19. The system as claimed in claim 16, 17 or 18, wherein the one or more interfaces are further configured to periodically receive a change in the at least one attribute value or the current value of the attribute value from an automated monitoring system which monitors the asset and on receipt the one or more interfaces are configured to publish the subsequent information package containing the change in the at least one attribute value or the current value of the attribute value.
20. The system as claimed in claim 19, wherein the system further comprises the automated monitoring system and the automated monitoring system is a secure data acquisition system comprising a plurality of hardware and software components which are configured to securely monitor the asset.
21. The system as claimed in any one of claims 16 to 20, wherein the at least one attribute value is a tradeable characteristic of the asset.
22. The system as claimed in claim 21 , wherein after each subsequent asset smart contract is published the system is further configured to generate a plurality of Asset Backed Tokens (ABTs) by executing a ABT smart contract stored on the blockchain, wherein an amount of ABTs issued is determined from the change in the at least one attribute value in the asset smart contract, or each ABT issued represents a fractional ownership of the NFDT and the underlying asset.
23. The system as claimed in claim 22, further comprising a trading system implementing a ledger and cold wallet, wherein the trading system is configured to store the ABTs and facilitate trading of the ABTs between multiple parties. 
24. The system as claimed in claim 23, wherein the at least one attribute value is a carbon footprint of the asset and represents carbon emissions and/or carbon reductions measured in tonnes of C02 equivalent (tC02e), and the ABT is a carbon neutrality token (CNT) such that the NFDT is a digital twin of the underlying carbon credits applicable for trading.
25. The system as claimed in claim 24, wherein one or more of the information packages contains information regarding a carbon offsetting action in a first country, a carbon emission reduction certificate from an issuing authority in a first country in relation to the carbon offsetting action which generated an amount of verified carbon emission reductions, and a redemption certificate which prevents further trading of the carbon emission reduction certificate in an issuing country where the issuing country may be the first country or a different country.
26. The system as claimed in claim 25, wherein the system is a Carbon Registry which is configured to store a plurality of NFDTs for a plurality of assets in the first country and which acts as the issuing authority.
27. The system as claimed in claim 21, wherein the at least one attribute value is a carbon footprint of the asset and represents carbon emissions and/or carbon reductions measured in tonnes of C02 equivalent (tC02e), such that the NFDT is a digital twin of the underlying carbon neutrality status of the asset, and the computational system forms part of a Carbon Registry which is configured to issue voluntary emission reduction certificates and redemption certificates to an asset owner based on the NFDT of the respective asset.
28. The system as claimed in any one of claims 16 to 21 or 27, wherein the system is further configured to generate a plurality of Asset Backed Tokens (ABTs) by executing a ABT smart contract stored on the blockchain, wherein the ABT contains a link to the respective asset smart contract, and the system further comprises a trading system implementing a ledger and cold wallet, wherein the trading system is configured to store the ABTs and facilitate trading of the ABTs between multiple parties. 
29. The system as claimed in any one of claims 16 to 28, wherein each asset smart contract further includes an identifier of an owner of the asset and one or more of the at least one attribute values includes an attribute value related to a title or other proof of ownership by the owner.
30. The system as claimed in any one of claims 16 to 29, wherein the NFDT is used to represent the asset in a Metaverse comprising a digital representation of a plurality of real world objects.
31. The system as claimed in any one of claims 16 to 30, wherein the system further comprises the blockchain.
32. The system as claimed in any one of claims 16 to 31, wherein the blockchain is an Ethereum blockchain, and the asset smart contract is based on the ERC721 standard.
33. A computer readable storage medium having a computer program stored thereon, the computer program implementing the method according to any one of claims 1 to 15 when executed by one or more processors.</t>
  </si>
  <si>
    <t>Bai, Bo</t>
  </si>
  <si>
    <t>AE, AG, AL, AM, AO, AT, AU, AZ, BA, BB, BG, BH, BN, BR, BW, BY, BZ, CA, CH, CL, CN, CO, CR, CU, CZ, DE, DJ, DK, DM, DO, DZ, EC, EE, EG, ES, FI, GB, GD, GE, GH, GM, GT, HN, HR, HU, ID, IL, IN, IR, IS, IT, JM, JO, JP, KE, KG, KH, KN, KP, KR, KW, KZ, LA, LC, LK, LR, LS, LU, LY, MA, MD, ME, MG, MK, MN, MW, MX, MY, MZ, NA, NG, NI, NO, NZ, OM, PA, PE, PG, PH, PL, PT, QA, RO, RS, RU, RW, SA, SC, SD, SE, SG, SK, SL, ST, SV, SY, TH, TJ, TM, TN, TR, TT, TZ, UA, UG, US, UZ, VC, VN, WS, ZA, ZM, ZW</t>
  </si>
  <si>
    <t>G06Q0020123000</t>
  </si>
  <si>
    <t>G06Q0020123000 | Y02P0090840000 | G06F0016310000 | G06Q0020020000 | G06Q0020065000 | G06Q0020382150 | G06Q0040040000</t>
  </si>
  <si>
    <t>G06F01631000</t>
  </si>
  <si>
    <t>G06F01631000 | G06Q02038000</t>
  </si>
  <si>
    <t>WO2022225446A1|WO2022225464A1|CN115239487A</t>
  </si>
  <si>
    <t>WO2022225446 A1 | WO2022225464 A1 | CN115239487 A</t>
  </si>
  <si>
    <t>I-000231323416</t>
  </si>
  <si>
    <t>https://patentscout.innography.com/share/1yBBYcTNehKo_EjuZOlCmQ%3D%3D</t>
  </si>
  <si>
    <t>https://patentscout.innography.com/share/1yBBYcTNehKo_EjuZOlCmQ%3D%3D/download</t>
  </si>
  <si>
    <t>https://v3.espacenet.com/publicationDetails/biblio?CC=WO&amp;NR=2022225464A1&amp;KC=A1&amp;FT=D&amp;date=20221027&amp;DB=EPODOC&amp;locale=</t>
  </si>
  <si>
    <t>PCT/SG2021/050417</t>
  </si>
  <si>
    <t>WO2022152622 A1</t>
  </si>
  <si>
    <t>CN115239487 A</t>
  </si>
  <si>
    <t>ATMD BIRD &amp; BIRD LLP</t>
  </si>
  <si>
    <t>total | 演化计算</t>
  </si>
  <si>
    <t>2.  1.  A method for generating a dynamic Non-Fungible Digital Twin (NFDT) representation of an asset, comprising: generating and storing an information package at a report address, wherein the information package comprises information defining a digital twin of an asset including at least one attribute value; cryptographically signing the information package and obtaining a hash for authenticating the information package; generating a birth asset smart contract by inputting at least an asset identifier, the report address, and the hash of the information package to an asset smart contract stored on a blockchain which publishes the birth asset smart contract to the blockchain at a birth address and contains at least the inputted information and a non fungible token generated by the asset smart contract; generating and storing at least one subsequent information package at a subsequent report address, wherein each subsequent information package comprises information regarding the asset including either a change in the at least one attribute value of the asset, or a current value of the at least one attribute value where each subsequent information package is generated at a different time; cryptographically signing each subsequent information package and obtaining a hash for authenticating the subsequent information package; and generating a plurality of subsequent asset smart contacts by inputting, for each subsequent information package, at least an asset identifier, the subsequent report address, and the hash of the subsequent information package to the asset smart contract stored on a blockchain which publishes a subsequent asset smart contract to the blockchain at a subsequent address and contains at least the inputted information, a non fungible token generated by the asset smart contract and a link to an address on the blockchain of a previous asset smart contract or the birth asset smart contract such that the published birth smart contract and one or more subsequent asset contracts form a time series of asset smart contracts which define a unique Non-Fungible Digital Twin (NFDT) representation of the asset.</t>
  </si>
  <si>
    <t>17.  16.  A computational system comprising: a plurality of computing apparatus comprising one or more processors, one or more memories, one or more storage devices, and one or more interfaces wherein the one or more interfaces are configured to: generate and store an information package at a report address, wherein the information package comprises information defining a digital twin of an asset including at least one attribute value; cryptographically signing the information package and obtaining a hash for authenticating the information package; generating a birth asset smart contract by inputting at least an asset identifier, the report address, and the hash of the information package to an asset smart contract stored on a blockchain which publishes the birth asset smart contract to the blockchain at a birth address and contains at least the inputted information and a non fungible token generated by the asset smart contract; generating and storing at least one subsequent information package at a subsequent report address, wherein each subsequent information package comprises information regarding the asset including either a change in the at least one attribute value of the asset, or a current value of the at least one attribute value, where each subsequent information package is generated at a different time; cryptographically signing each subsequent information package and obtaining a hash for authenticating the subsequent information package; and generating a plurality of subsequent asset smart contacts by inputting, for each subsequent information package, at least an asset identifier, the subsequent report address, and the hash of the subsequent information package to the asset smart contract stored on a blockchain which publishes a subsequent asset smart contract to the blockchain at a subsequent address and contains at least the inputted information, a non fungible token generated by the asset smart contract and a link to an address on the blockchain of a previous asset smart contract or the birth asset smart contract such that the published birth smart contract and one or more subsequent asset contracts form a time series of asset smart contracts which define a unique Non-Fungible Digital Twin (NFDT) representation of the asset.</t>
  </si>
  <si>
    <t>US9274595 B2 | US20160093108 A1 | US20160133230 A1 | US20160379415 A1 | US20170038829 A1 | US20190197785 A1 | US20190304009 A1 | US20200133618 A1 | US20200211251 A1 | WO2020070630 A1</t>
  </si>
  <si>
    <t>2021-06-09</t>
  </si>
  <si>
    <t>2022-06-09</t>
  </si>
  <si>
    <t>2023-12-09</t>
  </si>
  <si>
    <t>The present invention provides a system for providing an interactive multi-user 360 panoramic-image representation virtual 3D environment the system comprising an environment representation database configured for storing a 360 panoramic representation of a 3D environment; a plurality virtual user modules each configured to acquire and update a virtual position and orientation in the representation of each of one or more virtual users; a tracking module configured to receive and store the virtual positions from the virtual user modules; a rendering module configured to render for each the virtual user a hemispheric background projection of the 360 panoramic representation on a background image layer appropriate to the virtual position of the virtual user; wherein the rendering module is further configured for each viewing virtual user to place an avatar of other virtual users on an avatar layer disposed appropriate to the virtual position of the viewing virtual user and each of the other virtual users and overlay the avatar layer upon the background layer; and the virtual user modules are further configured to display a virtual 3D environment comprising the combined layer to its virtual user.</t>
  </si>
  <si>
    <t>System and method for providing interactive multi-user parallel real and virtual 3d environments</t>
  </si>
  <si>
    <t>Melchner, Alon</t>
  </si>
  <si>
    <t>IL2022050615W</t>
  </si>
  <si>
    <t>1. A system 10 for providing an interactive multi-user 360° panoramic-image representation virtual 3D environment 125B, said system 10 comprising an environment representation database 105 configured for storing a 360° panoramic representation of a 3D environment; a plurality virtual user modules 115B each configured to acquire and update a virtual position and orientation, in said representation, of each of one or more virtual users 120B; a tracking module 112, configured to receive and store said virtual positions from said virtual user modules 115B; a rendering module 110, configured to render, for each said virtual user, a hemispheric background projection of the 360° panoramic representation on a background image layer, appropriate to said virtual position of said virtual user; wherein the rendering module 110 is further configured, for each viewing said virtual user, to place an avatar of other said virtual users on an avatar layer, disposed appropriate to said virtual position of the viewing virtual user and each of the other virtual users, and overlay the avatar layer upon the background layer; and the virtual user modules 115B are further configured to display a virtual 3D environment 125B comprising the combined layer to its virtual user 120B.</t>
  </si>
  <si>
    <t>1. A system 10 for providing an interactive multi-user 360° panoramic-image representation virtual 3D environment 125B, said system 10 comprising an environment representation database 105 configured for storing a 360° panoramic representation of a 3D environment; a plurality virtual user modules 115B each configured to acquire and update a virtual position and orientation, in said representation, of each of one or more virtual users 120B; a tracking module 112, configured to receive and store said virtual positions from said virtual user modules 115B; a rendering module 110, configured to render, for each said virtual user, a hemispheric background projection of the 360° panoramic representation on a background image layer, appropriate to said virtual position of said virtual user; wherein the rendering module 110 is further configured, for each viewing said virtual user, to place an avatar of other said virtual users on an avatar layer, disposed appropriate to said virtual position of the viewing virtual user and each of the other virtual users, and overlay the avatar layer upon the background layer; and the virtual user modules 115B are further configured to display a virtual 3D environment 125B comprising the combined layer to its virtual user 120B.
2. The system of claim 1, wherein said virtual user modules are further configured to acquire and update a virtual orientation, action, and/or posture of each of one or more virtual users and said rendering module is further configured to render said avatar on said avatar layer according to said orientation, action, and/or posture.
3. The system of claim 1, wherein said rendering module is further configured to render the size of said avatars as a function of a distance between said positions of viewing and viewed virtual users and of a scaling factor of the size of 2D panoramic images relative to the size of a real 3D environment from which the panoramic images were taken.
4. The system of claim 1, wherein if more than one virtual user occupies the same virtual position in the virtual 3D environment, the rendering module spaces their avatars apart, appearing arrayed or clustered within some radius of the virtual position of the avatars. 
5. The system of claim 1, further comprising an objects module, configured to store representations and positions of objects, said rendering module is further configured to overlay said virtual objects upon said background layer, according to virtual positions of said virtual objects and virtual position and line-of-sight direction of said viewing user.
6. The system of claim 5, wherein the representation of a said virtual object is accompanied by a hotspot, displayed as a hotspot icon on said virtual user module; when a said virtual user selects the hotspot icon, said virtual user module is configured to display a 3D model of the virtual object, wherein said 3D model is manipulable by said virtual user.
7. The system of claim 1 or 5, wherein said environment representation database is further configured to store a 3D model of said 3D environment and said rendering module is further configured to do one or more of a. employ the 3D model in order to determine distances between said viewing virtual users and to other virtual users and to background walls and objects in the scene represented by the 2D panoramic images, and to size said avatars according to said distances; b. render occlusion of a said avatar or said object fully or partially obscured by said virtual 3D environment, as computed from said 3D model.
8. The system of claim 1 or 5 wherein said environment representation database is further configured to store a recorded 3 dimensional metaverse environment such as a 3 D metaverse podcast, said rendering plurality of virtual user modules is configured to interact with said recorded 3 dimensional virtual environment and said rendering module is configured to render for each said virtual user, a hemispheric background projection of said recorded 3 dimensional virtual environment on a background image layer, appropriate to said virtual position of said virtual user.
9. The system of claim 8 wherein said recorded 3 dimensional metaverse environment such as a 3 D metaverse podcast is recorded from the real world.
10. A system 10 for providing an interactive multi-user virtual 3D environment 125B, comprising an environment representation database 105 configured for storing a representation, comprising a 3D model, of a 3D environment; one or more virtual user modules 115B each configured to acquire and update a virtual position of each of one or more virtual users 120B; a tracking module 112, configured to receive and store said virtual positions from said virtual user modules 115B; a rendering module 110, configured to receive said representation and accordingly render a virtual 3D environment 125B for display on said virtual user modules 
115B; wherein the rendering module 110 is further configured, for each viewing said virtual user, to render avatars of other said virtual users, according to the virtual positions of the viewing virtual user and of each of the other virtual users; and the virtual user modules 115B are further configured to display a virtual 3D environment 125B comprising the rendered representation of the 3D model and avatars.
11. The system of claim 8, wherein said virtual user modules comprise VR glasses, VR contact lenses, a computing device with a display screen, a Web3D station or mobile device, or any combination thereof. 
Multiple instances of the virtual representation for different groups of users
12. The system of claim 8, further comprising additional instances of said virtual representation, each said virtual representation instance populated by a different group of said virtual users.
13. The system of claim 1 or 8, wherein visual data representing said avatars comprise one or more of a generic representation, an icon, a 2D image, a 3D model, a streaming video, or any combination thereof.
14. The system of claim 8, further comprising a virtual objects module, configured to store representations and positions of virtual objects, said rendering module is further configured to render said virtual objects in said virtual 3D environment in said virtual positions.
15. The system of claim 1 or 8, wherein said rendering module is further configured to render a voice of another user, a volume of said voice adjusted according to a distance between the avatars of the other user and said viewing user.
16. The system of claim 13, wherein said rendering module is further configured to render said voice as if coming from the direction of said other user, e.g. by employing surround sound. 
17. A system for providing interactive multi-user parallel real and virtual 3D environments, comprising any one of the systems of claims 1-13 and further comprising one or more physical user modules 115A disposed in a real said 3D environment 125A represented in said environment representation database 105, each said physical user module configured to track a real position of a physical user 120A; wherein the rendering module is further configured to render avatars, of physical users in a real 3D environment 125A, overlain upon or placed in said virtual 3D environment 125B (duplicating said real 3D environment), for display on said virtual user modules; and the rendering module is further configured to render avatars of said virtual users, overlain upon said real 3D environment, for display on said physical user modules.
18. The system of claim 15, wherein said representation is constructed and/or updated from one or more depth image scans of said real 3D environment acquired from one or more of said physical user modules and/or an acquisition module in said physical 3D environment.
19. The system of claim 16, wherein said virtual representation is constructed and/or updated and displayed to said in real time during participation of said real and virtual users in said parallel environment.
20. The system of claim 16 or 17, wherein said representation is constructed and/or updated from by cumulative said scans of by a plurality physical user devices.
21. The system of claim 16, wherein said scan is made by a professional-grade depth image camera.
22. The system of claim 15, wherein said real 3D environment is a real store and said system 10 is further configured to enable interaction between a virtual sales representative and a physical user customer.
23. The system of claim 15, wherein said real 3D environment is a real store and said system 10 is further configured to enable interaction between any combination of virtual and physical user sales representatives and virtual and physical user customers.
24. The system of claim 20 or 21, wherein said virtual sales representatives comprise a virtual user, a sales hot, or any combination thereof.
25. The system of claim 22, wherein said sales bots are responsive to motions of a said physical user customer in said real store. 
26. The system of claim 15 or 16, further configured for a said physical or virtual user/object to virtually teleport to a real 3D environment, becoming a said virtual user/object in said real 3D environment.
27. The system of claim 24, wherein said teleported virtual user is an interior decoration assistant, virtually teleported to a real home of a physical user customer therein, and said system is further configured for rendering avatars of said assistant and said customer interacting.
28. The system of claim 25, further configured for teleportation one or more virtual samples of any combination of furniture, ceramics, bathroom, home decor, carpets, floors, parquets, paint, wallpaper, outdoor furniture, swimming pools, garden design, awnings, windows, and doors to said home; and further configured for placement of said virtual samples in said home according to measurements made by said depth images.
29. The system of claim 26, further configured for one or more additional virtual users to virtually navigate or virtually teleport to said home and interact with said customer.
30. The system of claim 26 or 27, wherein the representation of said home is modified by a set of tools enabling removal of objects appearing in the real 3D environment from the representation of the home, by clearing or hiding 3D triangles and mesh elements from the representation.
31. The system of claim 1 or claim 8, wherein said virtual 3D environment is a virtual store with hot serving as a virtual sales representative.
32. The system of claim 1, 8, or 15, further comprising an analytics module configured to collect and statistically analyze positions, orientations, and/or actions, of said virtual and/or physical users.
33. The system of claim 30, further configured to collect user actions, timestamps, and/or durations of said user actions and include them in said statistical analysis; and or compare virtual with real user activities.
34. The system of claim 1, 8, or 15, further comprising tools for a teleportation platform, capturing a physical 3D environment, create said representation of said physical 3D environment, enable tracking users on syncing between, enabling teleportation and scanning creation or update of the real 3D environment, placement of objects and adding to the shared environment configured for programming or scripting one or more of: a virtual store; converting existing online stores to multi-user virtual stores; creating an AR/XR layer over a physical 3D environment; and adding a virtual layer over an existing virtual layer.
35. The system of claim 32, wherein the representation of the real 3D environment builds up from many physical users traversing the real 3D environment.
36. A system 10 for providing an interactive 360° panoramic-image representation virtual 3D environment 125B, said system 10 comprising an environment representation database 105 configured for storing a 360° panoramic representation of a 3D environment; one or more virtual user modules 115B each configured to acquire and update a virtual position and orientation, in said representation, of each of one or more virtual users 120B; a tracking module 112, configured to receive and store said virtual positions from said virtual user modules 115B; a rendering module 110, configured to render, for each said virtual user, a hemispheric background projection of the 360° panoramic representation on a background image layer, appropriate to said virtual position of said virtual user; an objects module, configured to store representations and positions of objects, said rendering module is further configured overlay said virtual objects upon said background layer, according to virtual positions of said virtual objects and virtual position and line-of-sight direction of a said virtual user, wherein a said representation of a said object is accompanied by a hotspot, displayed as a hotspot icon on said virtual user module; when a said virtual user selects the hotspot icon, said virtual user module is configured to display 3D model of the virtual object, wherein the 3D model is manipulable by said virtual user.
37. A method 1000 for providing a live rendering, in an interactive, multi-user 3D-modeled virtual 3D environment, to a viewing real virtual user of an avatar representing another virtual user, comprising steps of determining the location of a first (viewing) virtual user 1005; determining the location of a second (other) virtual user 1010; transmitting the location of the second user to a remote server 1015; transmitting the location of the second virtual user to a user device of the first virtual user 1020; and placing an avatar of the second user within the 3D model 1025.
38. A method 1300 for providing a live rendering, in an interactive, multi-user 3D-modeled virtual 3D environment, of a virtual object to a viewing real or virtual user, comprising steps of determining the location of a user 1305; determining the location of an object 1310; transmitting the location of the object to a remote server 1315; transmitting the location of the object to a user device of the user 1320; placing a virtual representation of the object within the 3D model 1325.
39. A method 1400 for providing a live rendering, in an interactive, multi-user 3D-modeled virtual environment, of the orientation of a 2D image representation of an object in a 3D- modeled 3D environment, comprising steps of determining the location of a user 1405; determining the location of a 2D image model of an object 1410; updating, on a server, the orientation of the 2D image to face the location of the user 
1415; if the 2D image object is moved by the user, updating the 2D image position on the server for real-time effect to the user 1420; and if the 2D image object is transformed by the user, updating the 2D image on the server for real-time effect to the user 1425.
40. A method 1500 for synchronizing the placement and/or orientation of objects in a multi user parallel real and virtual 3D environment, comprising steps of determining the location of a physical user in a real 3D environment 1510; defining the virtual position of the real user within a parallel 3D model representation of the real 3D environment 1515; transmitting the virtual position of the real user to a remote server 1520; transmitting virtual positions of each user to devices of each other user to other user 
1525; placing a virtual object (e.g. an avatar), within the 3D model representation, at the virtual position of the physical user, for display to virtual users 1530; placing virtual objects, at the virtual positions of virtual users, for display by AR to the physical user in the real 3D environment 1535.</t>
  </si>
  <si>
    <t>G06T01900000 | G06F00301000 | G06F00304815 | G06T01340000 | G06T01500000 | G06T01705000 | G06T01920000</t>
  </si>
  <si>
    <t>WO2022259253A1</t>
  </si>
  <si>
    <t>WO2022259253 A1</t>
  </si>
  <si>
    <t>I-000233152956</t>
  </si>
  <si>
    <t>30 months from 2021-06-09 (priority date)</t>
  </si>
  <si>
    <t>https://patentscout.innography.com/share/GUkOFgkFOnidRJLbU8P3Uw%3D%3D</t>
  </si>
  <si>
    <t>https://patentscout.innography.com/share/GUkOFgkFOnidRJLbU8P3Uw%3D%3D/download</t>
  </si>
  <si>
    <t>https://v3.espacenet.com/publicationDetails/biblio?CC=WO&amp;NR=2022259253A1&amp;KC=A1&amp;FT=D&amp;date=20221215&amp;DB=EPODOC&amp;locale=</t>
  </si>
  <si>
    <t>WO2022171377 A1</t>
  </si>
  <si>
    <t>2.  1.  A system 10 for providing an interactive multi-user 360 ° panoramic-image representation virtual 3D environment 125B, said system 10 comprising an environment representation database 105 configured for storing a 360 ° panoramic representation of a 3D environment; a plurality virtual user modules 115B each configured to acquire and update a virtual position and orientation, in said representation, of each of one or more virtual users 120B; a tracking module 112 , configured to receive and store said virtual positions from said virtual user modules 115B; a rendering module 110 , configured to render, for each said virtual user, a hemispheric background projection of the 360 ° panoramic representation on a background image layer, appropriate to said virtual position of said virtual user; wherein the rendering module 110 is further configured, for each viewing said virtual user, to place an avatar of other said virtual users on an avatar layer, disposed appropriate to said virtual position of the viewing virtual user and each of the other virtual users, and overlay the avatar layer upon the background layer; and the virtual user modules 115B are further configured to display a virtual 3D environment 125B comprising the combined layer to its virtual user 120B.</t>
  </si>
  <si>
    <t>11.  10.  A system 10 for providing an interactive multi-user virtual 3D environment 125B, comprising an environment representation database 105 configured for storing a representation, comprising a 3D model, of a 3D environment; one or more virtual user modules 115B each configured to acquire and update a virtual position of each of one or more virtual users 120B; a tracking module 112 , configured to receive and store said virtual positions from said virtual user modules 115B; a rendering module 110 , configured to receive said representation and accordingly render a virtual 3D environment 125B for display on said virtual user modules 
115B; wherein the rendering module 110 is further configured, for each viewing said virtual user, to render avatars of other said virtual users, according to the virtual positions of the viewing virtual user and of each of the other virtual users; and the virtual user modules 115B are further configured to display a virtual 3D environment 125B comprising the rendered representation of the 3D model and avatars.</t>
  </si>
  <si>
    <t>37.  36.  A system 10 for providing an interactive 360 ° panoramic-image representation virtual 3D environment 125B, said system 10 comprising an environment representation database 105 configured for storing a 360 ° panoramic representation of a 3D environment; one or more virtual user modules 115B each configured to acquire and update a virtual position and orientation, in said representation, of each of one or more virtual users 120B; a tracking module 112 , configured to receive and store said virtual positions from said virtual user modules 115B; a rendering module 110 , configured to render, for each said virtual user, a hemispheric background projection of the 360 ° panoramic representation on a background image layer, appropriate to said virtual position of said virtual user; an objects module, configured to store representations and positions of objects, said rendering module is further configured overlay said virtual objects upon said background layer, according to virtual positions of said virtual objects and virtual position and line-of-sight direction of a said virtual user, wherein a said representation of a said object is accompanied by a hotspot, displayed as a hotspot icon on said virtual user module; when a said virtual user selects the hotspot icon, said virtual user module is configured to display 3D model of the virtual object, wherein the 3D model is manipulable by said virtual user.</t>
  </si>
  <si>
    <t>38.  37.  A method 1000 for providing a live rendering, in an interactive, multi-user 3D-modeled virtual 3D environment, to a viewing real virtual user of an avatar representing another virtual user, comprising steps of determining the location of a first (viewing) virtual user 1005 ; determining the location of a second (other) virtual user 1010 ; transmitting the location of the second user to a remote server 1015 ; transmitting the location of the second virtual user to a user device of the first virtual user 1020 ; and placing an avatar of the second user within the 3D model 1025.</t>
  </si>
  <si>
    <t>39.  38.  A method 1300 for providing a live rendering, in an interactive, multi-user 3D-modeled virtual 3D environment, of a virtual object to a viewing real or virtual user, comprising steps of determining the location of a user 1305 ; determining the location of an object 1310 ; transmitting the location of the object to a remote server 1315 ; transmitting the location of the object to a user device of the user 1320 ; placing a virtual representation of the object within the 3D model 1325.</t>
  </si>
  <si>
    <t>40.  39.  A method 1400 for providing a live rendering, in an interactive, multi-user 3D-modeled virtual environment, of the orientation of a 2D image representation of an object in a 3D- modeled 3D environment, comprising steps of determining the location of a user 1405 ; determining the location of a 2D image model of an object 1410 ; updating, on a server, the orientation of the 2D image to face the location of the user 
1415 ; if the 2D image object is moved by the user, updating the 2D image position on the server for real-time effect to the user 1420 ; and if the 2D image object is transformed by the user, updating the 2D image on the server for real-time effect to the user 1425.</t>
  </si>
  <si>
    <t>41.  40.  A method 1500 for synchronizing the placement and/or orientation of objects in a multi user parallel real and virtual 3D environment, comprising steps of determining the location of a physical user in a real 3D environment 1510 ; defining the virtual position of the real user within a parallel 3D model representation of the real 3D environment 1515 ; transmitting the virtual position of the real user to a remote server 1520 ; transmitting virtual positions of each user to devices of each other user to other user 
1525 ; placing a virtual object (e.g. an avatar), within the 3D model representation, at the virtual position of the physical user, for display to virtual users 1530 ; placing virtual objects, at the virtual positions of virtual users, for display by AR to the physical user in the real 3D environment 1535.</t>
  </si>
  <si>
    <t>2022-12-13</t>
  </si>
  <si>
    <t>The invention belongs to the technical field of public welfare rescue system and method and claims a public service rescue system and method based on universe and block chain technology comprising an expansion server and a user terminal the server is provided with an identity confirmation module a sending module a starting module a data sending module a recording system a storage module and a detection module. The invention through the user observables the final direction of donation clothes enhancing the donation enthusiasm of the user integrating social resources reducing financial burden the user who donated the unqualified clothes will be forced to watch the donation requirement video after the user of the unqualified clothes again login the public welfare aid system the continuous three-time donation of the unqualified user in the viewing donation request video will be deducted distribution has been distributed user integration forced unaware clothing donation requirement of the user learning clothing donation condition avoids the user repeatedly donation does not meet the requirement of clothing popularization of clothing donation knowledge.</t>
  </si>
  <si>
    <t>A public service rescue system and method based on universe and block chain technology</t>
  </si>
  <si>
    <t>CN202211047224A</t>
  </si>
  <si>
    <t>1. A public service rescue system and distribution based on universe and block chain technology, comprising: an expansion server and a user terminal, wherein the server is provided with an identity confirming module, a sending module, a starting module, a data sending module, a recording system, a storage module and a detecting module.</t>
  </si>
  <si>
    <t>1. A public service rescue system and distribution based on universe and block chain technology, comprising: an expansion server and a user terminal, wherein the server is provided with an identity confirming module, a sending module, a starting module, a data sending module, a recording system, a storage module and a detecting module.2. The public service rescue system based on universe and block chain technology according to claim 1, wherein the public service rescue system receives all the user registration, the identity confirmation module confirms the identity of the login, the database displays different use interfaces to the user and the service team.3. The public service rescue system based on metaverse and block chain technology according to claim 1, wherein after the user login the public welfare help system, the program is started, the old clothes feeding interface is sent to the user, the clothes feeding box module will separately pack and edit the number after sterilizing and disinfecting the clothes each time.4. The public service rescue system based on metaverse and block chain technology according to claim 1, wherein the data sending module can send the clothes donation number written by the clothes delivery box to the corresponding user terminal, the clothes input module is used for modularized management of the clothes input module.5. The public service rescue system based on metaverse and block chain technology according to claim 1, wherein the detection module can detect whether the user is in accordance with the donation requirement; the delivery detection module can judge whether the user donated the clothes unqualified times.6. The public service aid system and method based on metaverse and block chain technology according to claim 1, wherein The method comprises: the first step: the user inputs the login information and sends the login request, the identity confirmation module confirms the user identity, the launch program running module is started, displaying the delivery type selection page for the user; the second step: the user selects the delivery type and sends the delivery requirement and sends the clothes to the clothing donation box; the third step: the clothes donation box module starts the clothes for sterilizing and sterilizing and then packing, and the clothes number after packing, in the fourth step: the data sending module sends the clothes editing method to the corresponding user terminal, and displaying the corresponding account score, the clothes input module records the clothes information and then sends to the cloud, the fifth step: the service team working staff login a server, then taking the clothes in the clothes donation box, then detecting the donated clothes, detecting the qualified clothes for the user to formally issue the integral, detecting the unqualified clothes to cancel the user integral distribution qualification; the sixth step: after the user donated the unqualified clothes again login the public welfare help system will be forced to watch the donation request video, after finishing watching, the user can enter the second step, the user who is not qualified for three consecutive donations will be deducted from the user integral distributed and distributed out of the video outside the video donation request, the seventh step: the user login views the area score list, after the integral reaches a certain number, issuing the digital medal for the user, the user also can donate the score, so that the operation team purchases the clothes to donate by the name of the user.</t>
  </si>
  <si>
    <t>G06Q05026000 | G06Q03000000 | G06Q03002000</t>
  </si>
  <si>
    <t>CN115471383A</t>
  </si>
  <si>
    <t>CN115471383 A</t>
  </si>
  <si>
    <t>I-000233382382</t>
  </si>
  <si>
    <t>https://patentscout.innography.com/share/fY4EeYotvTL3WXGhN8IlQQ%3D%3D</t>
  </si>
  <si>
    <t>https://patentscout.innography.com/share/fY4EeYotvTL3WXGhN8IlQQ%3D%3D/download</t>
  </si>
  <si>
    <t>https://v3.espacenet.com/publicationDetails/biblio?CC=CN&amp;NR=115471383A&amp;KC=A&amp;FT=D&amp;date=20221213&amp;DB=EPODOC&amp;locale=</t>
  </si>
  <si>
    <t>1.  1.  A public service rescue system and distribution based on universe and block chain technology, comprising: an expansion server and a user terminal, wherein the server is provided with an identity confirming module, a sending module, a starting module, a data sending module, a recording system, a storage module and a detecting module.</t>
  </si>
  <si>
    <t>2021-02-02</t>
  </si>
  <si>
    <t>2019-07-31</t>
  </si>
  <si>
    <t>2039-07-31</t>
  </si>
  <si>
    <t>The invention provides a visual angle correction method a virtual reality display system and an arithmetic device. Whether the head-mounted display device is worn on the head of the user is detected by using the wearing sensor. In response to the head mounted display device being worn on the head of the user a current video frame displayed by the head mounted display device is obtained wherein the current video frame is generated based on the azimuth positioning parameter of the head mounted display device. And judging the picture pitch angle of the current video picture. And correcting the azimuth positioning parameter of the head-mounted display device according to the picture pitch angle so that the head-mounted display device displays the next video picture generated based on the corrected azimuth positioning parameter.</t>
  </si>
  <si>
    <t>Visual angle correction method, virtual reality display system and operation device</t>
  </si>
  <si>
    <t>visual angle|virtual reality display|virtual reality|head-mounted display device|head mounted display|head mounted</t>
  </si>
  <si>
    <t>Acer Inc.</t>
  </si>
  <si>
    <t>CN201910699530A</t>
  </si>
  <si>
    <t xml:space="preserve">A perspective correction method for a virtual reality display system including a head-mounted display device, the method comprising:detecting whether the head-mounted display device is worn on the head of a user by using a wearing sensor;responsive to the head mounted display device being worn on the head of the user, obtaining a current video frame displayed by the head mounted display device, wherein the current video frame is generated based on an azimuthal positioning parameter of the head mounted display device;judging a picture pitch angle of the current video picture; andcorrecting the azimuth positioning parameter of the head-mounted display device according to the picture pitch angle, so that the head-mounted display device displays a next video picture generated based on the corrected azimuth positioning parameter.
</t>
  </si>
  <si>
    <t>1. A perspective correction method for a virtual reality display system including a head-mounted display device, the method comprising:detecting whether the head-mounted display device is worn on the head of a user by using a wearing sensor;responsive to the head mounted display device being worn on the head of the user, obtaining a current video frame displayed by the head mounted display device, wherein the current video frame is generated based on an azimuthal positioning parameter of the head mounted display device;judging a picture pitch angle of the current video picture; andcorrecting the azimuth positioning parameter of the head-mounted display device according to the picture pitch angle, so that the head-mounted display device displays a next video picture generated based on the corrected azimuth positioning parameter.
2. The view angle correction method according to claim 1, wherein the step of determining the picture pitch angle of the current video picture comprises:inputting the current video picture to a machine learning model to predict the picture pitch angle of the current video picture.
3. The view angle correction method according to claim 1, wherein the step of correcting the azimuth positioning parameter of the head mounted display device in accordance with the picture pitch angle, causing the head mounted display device to display the next video picture generated based on the corrected azimuth positioning parameter comprises:calculating the difference value between the picture pitch angle and a preset expected view angle to obtain view angle offset; andadjusting the azimuth positioning parameter of the head-mounted display device according to the visual angle offset.
4. The perspective correction method according to claim 1, prior to the step of acquiring the current video picture displayed by the head mounted display device, the method further comprising:obtaining a picture visual angle according to the azimuth positioning parameters and the positioning measurement data; andand generating the current video picture according to the picture visual angle.
5. A virtual reality display system, comprising:a head-mounted display device comprising:a wearing sensor that detects whether the head-mounted display device is worn on a head of a user;the operation device is connected with the head-mounted display device and comprises:a storage circuit; anda processor, coupled to the storage circuitry, configured to:responsive to the head mounted display device being worn on the head of the user, obtaining a current video frame displayed by the head mounted display device, wherein the current video frame is generated based on an azimuthal positioning parameter of the head mounted display device;judging a picture pitch angle of the current video picture; andcorrecting the azimuth positioning parameter of the head-mounted display device according to the picture pitch angle, so that the head-mounted display device displays a next video picture generated based on the corrected azimuth positioning parameter.
6. The metaverse display system of claim 5, wherein the processor is configured to:inputting the current video picture to a machine learning model to predict the picture pitch angle of the current video picture.
7. The metaverse display system of claim 5, wherein the processor is configured to:calculating the difference value between the picture pitch angle and a preset expected view angle to obtain view angle offset; andadjusting the azimuth positioning parameter of the head-mounted display device according to the visual angle offset.
8. The metaverse display system of claim 5, wherein the processor is configured to:obtaining a picture visual angle according to the azimuth positioning parameters and the positioning measurement data; andand generating the current video picture according to the picture visual angle.
9. An arithmetic device comprising:a storage circuit; anda processor, coupled to the storage circuitry, configured to:in response to detecting that a head mounted display device is worn on a head of a user, obtaining a current video frame displayed by the head mounted display device, wherein the current video frame is generated based on an azimuthal positioning parameter of the head mounted display device;judging a picture pitch angle of the current video picture; andcorrecting the azimuth positioning parameter of the head-mounted display device according to the picture pitch angle, so that the head-mounted display device displays a next video picture generated based on the corrected azimuth positioning parameter.</t>
  </si>
  <si>
    <t>Huang, Zhiwen|Yang, Chaoguang|Xu, Wenzheng</t>
  </si>
  <si>
    <t>G06T0007700000</t>
  </si>
  <si>
    <t>G06T0007700000 | G06T0007800000 | G06T0019006000</t>
  </si>
  <si>
    <t>G06T00770000</t>
  </si>
  <si>
    <t>G06T00770000 | G06T00780000 | G06T01900000</t>
  </si>
  <si>
    <t>CN112308906A</t>
  </si>
  <si>
    <t>CN112308906 A</t>
  </si>
  <si>
    <t>I-000206767042</t>
  </si>
  <si>
    <t>20 years from 2019-07-31 (file date)</t>
  </si>
  <si>
    <t>https://patentscout.innography.com/share/S1FzRBTaNzEPkkC8WTxCvw%3D%3D</t>
  </si>
  <si>
    <t>2021-02-02-PUBLICATION|2021-02-23-ENTRY INTO FORCE OF REQUEST FOR SUBSTANTIVE EXAMINATION</t>
  </si>
  <si>
    <t>https://patentscout.innography.com/share/S1FzRBTaNzEPkkC8WTxCvw%3D%3D/download</t>
  </si>
  <si>
    <t>https://v3.espacenet.com/publicationDetails/biblio?CC=CN&amp;NR=112308906A&amp;KC=A&amp;FT=D&amp;date=20210202&amp;DB=EPODOC&amp;locale=</t>
  </si>
  <si>
    <t>臧建明 | 罗英 | Luo Ying | Zang Jianming</t>
  </si>
  <si>
    <t>1. A perspective correction method for a virtual reality display system including a head-mounted display device, the method comprising:detecting whether the head-mounted display device is worn on the head of a user by using a wearing sensor;responsive to the head mounted display device being worn on the head of the user, obtaining a current video frame displayed by the head mounted display device, wherein the current video frame is generated based on an azimuthal positioning parameter of the head mounted display device;judging a picture pitch angle of the current video picture; andcorrecting the azimuth positioning parameter of the head-mounted display device according to the picture pitch angle, so that the head-mounted display device displays a next video picture generated based on the corrected azimuth positioning parameter.</t>
  </si>
  <si>
    <t>5. A virtual reality display system, comprising:a head-mounted display device comprising:a wearing sensor that detects whether the head-mounted display device is worn on a head of a user;the operation device is connected with the head-mounted display device and comprises:a storage circuit; anda processor, coupled to the storage circuitry, configured to:responsive to the head mounted display device being worn on the head of the user, obtaining a current video frame displayed by the head mounted display device, wherein the current video frame is generated based on an azimuthal positioning parameter of the head mounted display device;judging a picture pitch angle of the current video picture; andcorrecting the azimuth positioning parameter of the head-mounted display device according to the picture pitch angle, so that the head-mounted display device displays a next video picture generated based on the corrected azimuth positioning parameter.</t>
  </si>
  <si>
    <t>9. An arithmetic device comprising:a storage circuit; anda processor, coupled to the storage circuitry, configured to:in response to detecting that a head mounted display device is worn on a head of a user, obtaining a current video frame displayed by the head mounted display device, wherein the current video frame is generated based on an azimuthal positioning parameter of the head mounted display device;judging a picture pitch angle of the current video picture; andcorrecting the azimuth positioning parameter of the head-mounted display device according to the picture pitch angle, so that the head-mounted display device displays a next video picture generated based on the corrected azimuth positioning parameter.</t>
  </si>
  <si>
    <t>2022-05-05</t>
  </si>
  <si>
    <t>2020-11-02</t>
  </si>
  <si>
    <t>2041-10-29</t>
  </si>
  <si>
    <t>A computer-implemented method for treating a medical condition via a digital therapeutic platform the method including receiving one or more user inputs generating a script at a script generator based on the one or more user inputs determining therapeutic digital content by applying the script as an input to a therapeutic machine learning platform receiving the therapeutic digital content via at least one of a therapeutic content database or a content generator identifying a user platform to output the therapeutic digital content modifying the therapeutic digital content for output via the user platform providing the therapeutic digital content via the user platform receiving feedback based on user consumption of the therapeutic digital content via the user platform and adjusting at least one of the script generator or the therapeutic machine learning platform based on the feedback.</t>
  </si>
  <si>
    <t>Omnichannel therapeutic platform</t>
  </si>
  <si>
    <t>digital content|machine learning|therapeutic machine|receiving feedback|machine learning platform</t>
  </si>
  <si>
    <t>Reulay, Inc.</t>
  </si>
  <si>
    <t>Reulay, LLC</t>
  </si>
  <si>
    <t>US17/452899</t>
  </si>
  <si>
    <t xml:space="preserve">A computer-implemented method for treating a medical condition via a digital therapeutic platform, the method comprising:
receiving one or more user inputs;
generating a script at a script generator, based on the one or more user inputs;
determining therapeutic digital content by applying the script as an input to a therapeutic machine learning platform;
receiving the therapeutic digital content via at least one of a therapeutic content database or a content generator;
identifying a user platform to output the therapeutic digital content;
modifying the therapeutic digital content for output via the user platform;
providing the therapeutic digital content via the user platform;
receiving feedback based on user consumption of the therapeutic digital content via the user platform; and
adjusting at least one of the script generator or the therapeutic machine learning platform based on the feedback.
</t>
  </si>
  <si>
    <t>1. A computer-implemented method for treating a medical condition via a digital therapeutic platform, the method comprising:
receiving one or more user inputs;
generating a script at a script generator, based on the one or more user inputs;
determining therapeutic digital content by applying the script as an input to a therapeutic machine learning platform;
receiving the therapeutic digital content via at least one of a therapeutic content database or a content generator;
identifying a user platform to output the therapeutic digital content;
modifying the therapeutic digital content for output via the user platform;
providing the therapeutic digital content via the user platform;
receiving feedback based on user consumption of the therapeutic digital content via the user platform; and
adjusting at least one of the script generator or the therapeutic machine learning platform based on the feedback.
2. The computer-implemented method of claim 1, wherein generating the script comprises:
providing the user inputs to the script generator, the script generator comprising a script machine learning model; and
receiving a paradigm as an output of the script machine learning model.
3. The computer-implemented method of claim 1, wherein the therapeutic machine learning platform comprises a scripting engine, a generational engine, and a thematic engine.
4. The computer-implemented method of claim 3, wherein the thematic engine requests the therapeutic digital content from at least one of the therapeutic content database or the content generator.
5. The computer-implemented method of claim 4, wherein the content generator is configured to generate content or modify content received from the therapeutic content database.
6. The computer-implemented method of claim 4, wherein the content generation comprises a GAN engine.
7. The computer-implemented method of claim 1, wherein the feedback is generated using one or more sensors.
8. The method of claim 7, wherein the feedback is collected using one or more of a wearable device, a medical device, a patch sensor, a biometric sensor, or a motion sensor.
9. The method of claim 1, wherein the user platform is one or more of a web platform, a virtual reality (VR) application, an augmented reality (AR) application, a mobile application, a holographic application, or a wearable device application.
10. The method of claim 1, wherein the user input comprises a medication and wherein the therapeutic digital content is selected, at least in part, based on the medication.
11. The method of claim 1, further comprising providing holotropic breathwork guidance, the holotropic breathwork guidance being generated based at least in part on the therapeutic digital content provided to the user.
12. The method of claim 1, further comprising determining a dosage amount of the therapeutic digital content by the script generator, the dosage amount being determined based on at least one of the one or more user inputs or the feedback.
13. The method of claim 1, wherein the user platform is a metaverse platform.
14. An omnichannel digital therapeutic system comprising:
a processor;
a memory;
a script generator comprising a script machine learning model, the script generator configured to:
receive one or more user inputs; and
generate a script based on the one or more user inputs;
a therapeutic machine learning platform, the therapeutic machine learning platform configured to:
receive the script as an input;
determine therapeutic digital content based on the script; and
receive the therapeutic digital content from at least one of a therapeutic content database or a content generator; and
a content rendering and distribution component configured to:
identify a user platform to output the therapeutic digital content;
modify the therapeutic digital content for output via the user platform; and
provide the therapeutic digital content via the user platform, wherein the processor is configured to receive feedback based on user consumption of the digital content via the user platform and further configured to cause adjustment of at least one of the script generator or the therapeutic machine learning platform based on the feedback.
15. The system of claim 14, wherein the therapeutic machine learning platform comprises a therapeutic machine learning model configured to determine the therapeutic digital content based on the script and the one or more user inputs.
16. The system of claim 14, wherein the therapeutic machine learning platform further comprises a thematic engine.
17. The system of claim 16, wherein the thematic engine requests the therapeutic digital content from at least one of the therapeutic content database or the content generator.
18. The system of claim 17, wherein the content generator is configured to generate content or modify content received from the therapeutic content database.
19. The system of claim 18, wherein the content generation comprises a GAN engine.
20. A method comprising:
receiving one or more user inputs generated based on a user's actions in a metaverse;
generating a script at a script generator, based on the one or more user inputs;
determining therapeutic digital content by applying the script as an input to a therapeutic machine learning platform;
receiving the therapeutic digital content via at least one of a therapeutic content database or a content generator;
identifying a user platform to output the therapeutic digital content, the user platform being a metaverse platform;
providing the therapeutic digital content via the user platform;
receiving feedback based on user consumption of the therapeutic digital content via the user platform; and
adjusting at least one of the script generator or the therapeutic machine learning platform based on the feedback.</t>
  </si>
  <si>
    <t>Pillay, Srinivasan S.|Candela, Patrick|Gupta, Abhishek</t>
  </si>
  <si>
    <t>G16H0020700000</t>
  </si>
  <si>
    <t>G16H0020700000 | A61B0005483300 | G16H0010200000 | G16H0020100000 | G16H0040630000 | G16H0040670000 | G16H0050200000 | G16H0050300000 | G16H0050700000 | G16H0070200000 | Y02A0090100000</t>
  </si>
  <si>
    <t>G16H05020000 | A61B00500000 | G16H02010000 | G16H02070000 | G16H04067000</t>
  </si>
  <si>
    <t>US20220139554A1</t>
  </si>
  <si>
    <t>US20220139554 A1</t>
  </si>
  <si>
    <t>I-000224754872</t>
  </si>
  <si>
    <t>20 years from 2021-10-29 (file date)</t>
  </si>
  <si>
    <t>https://patentscout.innography.com/share/tEALW2JuHh4UawidWTEyfA%3D%3D</t>
  </si>
  <si>
    <t>2021-10-28-ASSIGNMENT (REULAY, INC.)|2021-12-02-INFORMATION ON STATUS: PATENT APPLICATION AND GRANTING PROCEDURE IN GENERAL</t>
  </si>
  <si>
    <t>https://patentscout.innography.com/share/tEALW2JuHh4UawidWTEyfA%3D%3D/download</t>
  </si>
  <si>
    <t>https://ppubs.uspto.gov/pubwebapp/external.html?q=20220139554.pn.</t>
  </si>
  <si>
    <t>1. A computer-implemented method for treating a medical condition via a digital therapeutic platform, the method comprising:
receiving one or more user inputs;
generating a script at a script generator, based on the one or more user inputs;
determining therapeutic digital content by applying the script as an input to a therapeutic machine learning platform;
receiving the therapeutic digital content via at least one of a therapeutic content database or a content generator;
identifying a user platform to output the therapeutic digital content;
modifying the therapeutic digital content for output via the user platform;
providing the therapeutic digital content via the user platform;
receiving feedback based on user consumption of the therapeutic digital content via the user platform; and
adjusting at least one of the script generator or the therapeutic machine learning platform based on the feedback.</t>
  </si>
  <si>
    <t>14. An omnichannel digital therapeutic system comprising:
a processor;
a memory;
a script generator comprising a script machine learning model, the script generator configured to:
receive one or more user inputs; and
generate a script based on the one or more user inputs;
a therapeutic machine learning platform, the therapeutic machine learning platform configured to:
receive the script as an input;
determine therapeutic digital content based on the script; and
receive the therapeutic digital content from at least one of a therapeutic content database or a content generator; and
a content rendering and distribution component configured to:
identify a user platform to output the therapeutic digital content;
modify the therapeutic digital content for output via the user platform; and
provide the therapeutic digital content via the user platform, wherein the processor is configured to receive feedback based on user consumption of the digital content via the user platform and further configured to cause adjustment of at least one of the script generator or the therapeutic machine learning platform based on the feedback.</t>
  </si>
  <si>
    <t>20. A method comprising:
receiving one or more user inputs generated based on a user's actions in a metaverse;
generating a script at a script generator, based on the one or more user inputs;
determining therapeutic digital content by applying the script as an input to a therapeutic machine learning platform;
receiving the therapeutic digital content via at least one of a therapeutic content database or a content generator;
identifying a user platform to output the therapeutic digital content, the user platform being a metaverse platform;
providing the therapeutic digital content via the user platform;
receiving feedback based on user consumption of the therapeutic digital content via the user platform; and
adjusting at least one of the script generator or the therapeutic machine learning platform based on the feedback.</t>
  </si>
  <si>
    <t>The invention claims a quasi real element universe platform 3 D panoramic shooting method comprising using mobile phone to perform ring shooting to obtain video information for real environment sending to the back end server the back end server obtains the video information obtaining the two-dimensional scene information of the video information and quantization processing obtaining the digital matrix processing the digital matrix to obtain the three-dimensional scene information displaying the three-dimensional scene information into a three-dimensional panoramic scene through the mobile phone. The user of the invention uses the mobile phone to shoot the 3 D panoramic imaging and share it to the friend it can reduce the real sense and third dimension of the shot space and the real space generates the virtual 3 D image to the meta-space platform the operation is convenient the limitation of the environment is small it is convenient to be popularized widely.</t>
  </si>
  <si>
    <t>A quasi-true real element universe platform 3 d panoramic shooting method</t>
  </si>
  <si>
    <t>CN202210431154A</t>
  </si>
  <si>
    <t>1. A quasi-real element universe platform 3 D panoramic shooting method, wherein it comprises: using the front end to perform ring shooting to obtain the video information to the real environment, sending to the back end server; the back end server obtains the video information, the video information is fragmented, reading the two-dimensional scene information, obtaining the digital matrix, converting the digital matrix to obtain the three-dimensional scene information; the back-end server calls the three-dimensional scene information to generate user view after rendering.</t>
  </si>
  <si>
    <t>1. A quasi-real element universe platform 3 D panoramic shooting method, wherein it comprises: using the front end to perform ring shooting to obtain the video information to the real environment, sending to the back end server; the back end server obtains the video information, the video information is fragmented, reading the two-dimensional scene information, obtaining the digital matrix, converting the digital matrix to obtain the three-dimensional scene information; the back-end server calls the three-dimensional scene information to generate user view after rendering.2. The virtual reality metaverse platform three-dimensional panoramic shooting method according to claim 1, wherein the fragmentation processing, reading the two-dimensional scene information, obtaining the digital matrix, performing conversion processing to the digital matrix to obtain the three-dimensional scene information, comprising: obtaining each frame of picture information of the video information, performing AR intelligent identification to the picture information to obtain object information and position information; and converting the object information into a number group of digital forms.3. The method according to claim 2, wherein the true real element universe platform 3 D panoramic shooting method, wherein The digital matrix comprises: reducing the picture information of each frame to 49 * 49 pixels, and grey scale the colour information of the pixel.4. The method according to claim 3, wherein the true real element universe platform 3 D panoramic shooting method, wherein the digital matrix performs conversion processing to obtain the three-dimensional scene information, comprising: extracting the picture information to obtain the to-be-combined picture set; combining the image to be combined according to the position information to obtain the image to be displayed.5. The quasi-true real element universe platform three-dimensional panoramic shooting method according to claim 4, wherein generating a user view after rendering, comprising: the back end server calls the to-be-displayed image through the Viewer module and obtains the angle real-time data of the front-end shooting device; the image to be displayed, displaying the said through the front end.6. The virtual reality metaverse platform 3 D panoramic shooting method according to claim 5, wherein the position information comprises longitude, latitude, height and gradient.7. The quasi-real element universe platform three-dimensional panoramic shooting method according to claim 6, wherein the angle real-time data comprises the position movement data of the gyroscope in the front end shooting device is triggered by the front end shooting real-time capturing the current azimuth movement data.8. The virtual reality metaverse platform according to claim 7, wherein the panoramic shooting method, wherein generating user view after rendering further comprises user sharing connection.</t>
  </si>
  <si>
    <t>Yang, Nan|Yu, Daxue|Pan, Pan|Ma, Bingqiang</t>
  </si>
  <si>
    <t>H04N0013261000</t>
  </si>
  <si>
    <t>H04N0013261000 | H04N0013122000 | H04N0013275000</t>
  </si>
  <si>
    <t>H04N01326100</t>
  </si>
  <si>
    <t>H04N01326100 | H04N01312200 | H04N01327500</t>
  </si>
  <si>
    <t>CN114793276A</t>
  </si>
  <si>
    <t>CN114793276 A</t>
  </si>
  <si>
    <t>I-000228130853</t>
  </si>
  <si>
    <t>https://patentscout.innography.com/share/eBcC8Aq91P1N7iEATGdyCw%3D%3D</t>
  </si>
  <si>
    <t>2022-07-26-PUBLICATION|2022-08-12-ENTRY INTO FORCE OF REQUEST FOR SUBSTANTIVE EXAMINATION</t>
  </si>
  <si>
    <t>https://patentscout.innography.com/share/eBcC8Aq91P1N7iEATGdyCw%3D%3D/download</t>
  </si>
  <si>
    <t>https://v3.espacenet.com/publicationDetails/biblio?CC=CN&amp;NR=114793276A&amp;KC=A&amp;FT=D&amp;date=20220726&amp;DB=EPODOC&amp;locale=</t>
  </si>
  <si>
    <t>1.  1.  A quasi-real element universe platform 3 D panoramic shooting method, wherein it comprises: using the front end to perform ring shooting to obtain the video information to the real environment, sending to the back end server; the back end server obtains the video information, the video information is fragmented, reading the two-dimensional scene information, obtaining the digital matrix, converting the digital matrix to obtain the three-dimensional scene information; the back-end server calls the three-dimensional scene information to generate user view after rendering.</t>
  </si>
  <si>
    <t>KR20060082323 A | KR100755699 B1 | KR101650888 B1 | KR102108683 B1 | KR20130068593 A | KR20180072534 A | KR20200133976 A</t>
  </si>
  <si>
    <t>2022-08-03</t>
  </si>
  <si>
    <t>2021-09-08</t>
  </si>
  <si>
    <t>2041-09-08</t>
  </si>
  <si>
    <t>The present invention relates to a user-customized content recommendation system and method for recommending content according to a user so that various content can be utilized. The user-customized content recommendation apparatus receives the content from the content production device and stores it in the content storage unit. The user-customized content recommendation apparatus receives a keyword for the content to be searched from the user device. The user-customized content recommendation apparatus extracts content related to a keyword from the content storage unit and extracts related content related to the user&amp;#39;s field of interest and unrelated content from a field different from the user&amp;#39;s field of interest. In addition the user-customized content recommendation device transmits the extracted content to the user device.</t>
  </si>
  <si>
    <t>User-customized content recommendation system and method</t>
  </si>
  <si>
    <t>Jang, Hyeok</t>
  </si>
  <si>
    <t>KR20210119534A</t>
  </si>
  <si>
    <t>a content storage unit for storing content;a log storage unit for storing log data on the user's use of content;a receiving unit for receiving a keyword for a content to be searched for from a user device;a control unit for extracting content related to the keyword from the content storage unit, and extracting related content related to the user's field of interest and unrelated content related to the non-interested field of the user so that the user can receive and utilize various contents;and a transmitter configured to transmit the extracted content to the user device under the control of the controller, wherein the controller receives the content from the content production device through the receiver and classifies the content based on a plurality of classification items and stored in the content storage unit, wherein the classification item includes at least one of a producer, an author, a title, a subject, and a field, and extracts content with reference to the user's log data stored in the log storage unit, Classify user propensity based on the log data of and providing a metaverse in which the user device can utilize content.</t>
  </si>
  <si>
    <t>a content storage unit for storing content;a log storage unit for storing log data on the user's use of content;a receiving unit for receiving a keyword for a content to be searched for from a user device;a control unit for extracting content related to the keyword from the content storage unit, and extracting related content related to the user's field of interest and unrelated content related to the non-interested field of the user so that the user can receive and utilize various contents;
and a transmitter configured to transmit the extracted content to the user device under the control of the controller, wherein the controller receives the content from the content production device through the receiver and classifies the content based on a plurality of classification items and stored in the content storage unit, wherein the classification item includes at least one of a producer, an author, a title, a subject, and a field, and extracts content with reference to the user's log data stored in the log storage unit, Classify user propensity based on the log data of and providing a metaverse in which the user device can utilize content.
delete
delete
delete
The method of claim 1, wherein the control unit extracts content using at least one artificial intelligence recommendation model among content-based filtering, rule-based filtering, and collaborative filtering. User-customized content recommendation device, characterized in that.
The method of claim 5, wherein the control unit uses content-based filtering to classify a user's preference based on the user's log data, extract high-preference content as the related content, and reject content with low preference. Extracted as related content or using rule-based filtering, the user's intention to access the content recommendation device is identified through correlation analysis based on the user's log data, and content having a high correlation with the access intention is recalled. The related content is extracted as related content, and content having a low relation with connection intention is extracted as the unrelated content, or content that is frequently used by other users with similar tastes from the user's preference point of view is selected as the related content by using collaborative filtering. and extracting content with a low frequency of use by other users with similar tastes as the unrelated content.
The method of claim 1, wherein, when a keyword is input to the receiver, the control unit extracts the related content and transmits it to the user device, and receives a selection signal from the user device after reproduction of the selected content among the related contents is finished. If not received, the user-customized content recommendation apparatus, characterized in that the selected content from the related content and the non-related content is automatically played through the user device.
The apparatus of claim 7 , wherein when the controller automatically reproduces the content, the ratio of the automatically played content is higher in the related content than the unrelated content.
The apparatus of claim 1 , wherein the content includes at least one of literature, movies, images, art, music, sound, reviews, and news articles.
delete
a content production device for producing content;user devices using the content; and a user-customized content recommendation device for receiving and storing content through communication with the content producing device, and recommending content requested by the user device through communication with the user device; is, a content storage unit for storing content;a log storage unit for storing log data on the user's use of content;a receiving unit for receiving content from the content producing device or receiving a keyword for content to be searched from the user device;The content received from the content production device is classified based on a plurality of classification items and stored in the content storage unit, and content related to the keyword is extracted from the content storage unit, but the user can receive and utilize various contents a control unit for extracting related content related to the user's field of interest and content not related to the user's non-interested field;
and a transmitter configured to transmit the extracted content to the user device under the control of the controller, wherein the controller receives the content from the content production device through the receiver and classifies the content based on a plurality of classification items and stored in the content storage unit, wherein the classification item includes at least one of a producer, an author, a title, a subject, and a field, and extracts content with reference to the user's log data stored in the log storage unit, classify user propensity based on the log data of and providing a metaverse through which the user device can utilize content.
The user-customized content recommendation apparatus may include: receiving content from a content production device and storing the content in a content storage unit;receiving, by the user-customized content recommendation apparatus, a keyword for content to be searched from a user device;The user-customized content recommendation apparatus extracts the content related to the keyword from the content storage unit, and includes a content related to the user's interest area and a non-interested content related to the user's area of interest so that the user can receive and utilize various contents. extracting related content;
and transmitting, by the user-customized content recommendation device, the extracted content to the user device. Stored in the content storage unit, the classification item is at least one of a producer, an author, a title, a subject, and a field, and in the extracting step, the user-customized content recommendation device refers to the user's content use log data by referring to log data Extracting content, classifying user propensity based on the user's log data, extracting content matching the user propensity as the related content, and extracting content different from the user propensity as non-relevant content, wherein the user propensity is the The user-customized content recommendation method, characterized in that classification items are classified by mood, and the user-customized content recommendation device provides a metaverse in which the user device can utilize the content.</t>
  </si>
  <si>
    <t>G06Q05010000 | G06F01134000 | G06F01690320 | G06F01690600 | G06F01690700 | G06F01695350</t>
  </si>
  <si>
    <t>KR102428990B1</t>
  </si>
  <si>
    <t>KR102428990 B1</t>
  </si>
  <si>
    <t>I-000229068419</t>
  </si>
  <si>
    <t>20 years from 2021-09-08 (file date)</t>
  </si>
  <si>
    <t>https://patentscout.innography.com/share/1ckY9NrpsCSQ9qVQrhEVxQ%3D%3D</t>
  </si>
  <si>
    <t>2022-07-21-DECISION TO GRANT OR REGISTRATION OF PATENT RIGHT|2022-08-01-WRITTEN DECISION TO GRANT</t>
  </si>
  <si>
    <t>https://patentscout.innography.com/share/1ckY9NrpsCSQ9qVQrhEVxQ%3D%3D/download</t>
  </si>
  <si>
    <t>https://v3.espacenet.com/publicationDetails/biblio?CC=KR&amp;NR=102428990B1&amp;KC=B1&amp;FT=D&amp;date=20220803&amp;DB=EPODOC&amp;locale=</t>
  </si>
  <si>
    <t>KR20102428990 B1</t>
  </si>
  <si>
    <t>1.  a content storage unit for storing content;a log storage unit for storing log data on the user's use of content;a receiving unit for receiving a keyword for a content to be searched for from a user device;a control unit for extracting content related to the keyword from the content storage unit, and extracting related content related to the user's field of interest and unrelated content related to the non-interested field of the user so that the user can receive and utilize various contents;
and a transmitter configured to transmit the extracted content to the user device under the control of the controller, wherein the controller receives the content from the content production device through the receiver and classifies the content based on a plurality of classification items and stored in the content storage unit, wherein the classification item includes at least one of a producer, an author, a title, a subject, and a field, and extracts content with reference to the user's log data stored in the log storage unit, Classify user propensity based on the log data of and providing a metaverse in which the user device can utilize content.</t>
  </si>
  <si>
    <t>11.  a content production device for producing content;user devices using the content; and a user-customized content recommendation device for receiving and storing content through communication with the content producing device, and recommending content requested by the user device through communication with the user device; is, a content storage unit for storing content;a log storage unit for storing log data on the user's use of content;a receiving unit for receiving content from the content producing device or receiving a keyword for content to be searched from the user device;The content received from the content production device is classified based on a plurality of classification items and stored in the content storage unit, and content related to the keyword is extracted from the content storage unit, but the user can receive and utilize various contents a control unit for extracting related content related to the user's field of interest and content not related to the user's non-interested field;
and a transmitter configured to transmit the extracted content to the user device under the control of the controller, wherein the controller receives the content from the content production device through the receiver and classifies the content based on a plurality of classification items and stored in the content storage unit, wherein the classification item includes at least one of a producer, an author, a title, a subject, and a field, and extracts content with reference to the user's log data stored in the log storage unit, classify user propensity based on the log data of and providing a metaverse through which the user device can utilize content.</t>
  </si>
  <si>
    <t>12.  The user-customized content recommendation apparatus may include: receiving content from a content production device and storing the content in a content storage unit;receiving, by the user-customized content recommendation apparatus, a keyword for content to be searched from a user device;The user-customized content recommendation apparatus extracts the content related to the keyword from the content storage unit, and includes a content related to the user's interest area and a non-interested content related to the user's area of interest so that the user can receive and utilize various contents. extracting related content;
and transmitting, by the user-customized content recommendation device, the extracted content to the user device. Stored in the content storage unit, the classification item is at least one of a producer, an author, a title, a subject, and a field, and in the extracting step, the user-customized content recommendation device refers to the user's content use log data by referring to log data Extracting content, classifying user propensity based on the user's log data, extracting content matching the user propensity as the related content, and extracting content different from the user propensity as non-relevant content, wherein the user propensity is the The user-customized content recommendation method, characterized in that classification items are classified by mood, and the user-customized content recommendation device provides a metaverse in which the user device can utilize the content.</t>
  </si>
  <si>
    <t>2022-09-15</t>
  </si>
  <si>
    <t>2021-03-10</t>
  </si>
  <si>
    <t>2022-03-09</t>
  </si>
  <si>
    <t>2042-03-09</t>
  </si>
  <si>
    <t>A business and a technology platform uses triggers for making all forms of media technologies and locations instantly transactional informational and interactive on mobile devices iot devices virtual devices tablets and robots using a pull advertising/marketing model having triggers. The triggers include visual recognition character recognition machine learning neural network artificial intelligence GPS beacon rfid qr code search time voice recognition face recognition expression recognition object recognition audio signals augmented reality screen pressure sensitivity and games of all kinds in all formats. Instantaneous transactional capabilities are also added. The platform also uses combinations of presentations in all media.</t>
  </si>
  <si>
    <t>Sizzle the offer engine</t>
  </si>
  <si>
    <t>Sizzle, Inc.</t>
  </si>
  <si>
    <t>Sizzle Holdings</t>
  </si>
  <si>
    <t>US17/691078</t>
  </si>
  <si>
    <t>ARTHUR D DURAN</t>
  </si>
  <si>
    <t>3688: Business Methods</t>
  </si>
  <si>
    <t xml:space="preserve">A business and a technology platform for transmitting offers to a consumer, comprising:
an offer engine adapted to communicate an offer;
at least one trigger associated with an object which can be activated by the consumer;
said offer being communicated by activation of said at least one trigger.
</t>
  </si>
  <si>
    <t>1. A business and a technology platform for transmitting offers to a consumer, comprising:
an offer engine adapted to communicate an offer;
at least one trigger associated with an object which can be activated by the consumer;
said offer being communicated by activation of said at least one trigger.
2. A business and a technology platform as claimed in claim 1, wherein said at least one trigger includes any of an offer being communicated said at least one trigger includes any of visual recognition, character recognition, machine learning, neural network, artificial intelligence, GPS, beacon, rfid, qr code, search, time, voice recognition, face recognition, expression recognition, object recognition, audio signals, augmented reality, and screen pressure sensitivity.
3. A business and a technology platform as claimed in claim 1, wherein said offer engine is adapted to receive offers from third parties, which are then transmitted by said offer engine.
4. A business and a technology platform as claimed in claim 1, wherein as a result of activation of said trigger, instantaneous transactional capabilities are added to any of signs, billboards, out of home advertising, logos, packaging, business cards, advertising campaigns, direct response campaigns, and to all broadcast media, and gaming.
5. A business and a technology platform as claimed in claim 1, wherein said offer engine interacts with categories of transactional media including: gaming and wagering; streaming media; billboards and signs, phones, tablets and mobile devices; newspaper, magazine, and print media; and broadcast media and internet events.
6. A business and a technology platform as claimed in claim 1, wherein said offer engine is adapted to be implemented on mobile devices, iot devices, virtual devices, tablets, and robots using a pull advertising/marketing model
7. A business and a technology platform as claimed in claim 1, wherein said offer engine further comprises a transactional media platform which can investigate ad and user metrics within both graphical and statistical formats, and wherein said transactional media platform supports built in analytics capabilities, including dashboard summaries, traffic data, and transaction data.
8. A business and a technology platform for transmitting offers to a consumer, comprising:
an offer engine adapted to receive an offer from a provider, and is adapted to add a transaction code to said offer and to then communicate said offer to media companies and metaverses;
at least one trigger associated with an object which can be perceived by the consumer and which can be activated by the consumer;
said offer being communicated by activation of said at least one trigger; and
at least one merchant processor for processing transactions by the consumer as a result of receiving said offer.
9. A business and a technology platform as claimed in claim 8, wherein said at least one trigger includes any of an offer being communicated said at least one trigger includes any of visual recognition, character recognition, machine learning, neural network, artificial intelligence, GPS, beacon, rfid, qr code, search, time, voice recognition, face recognition, expression recognition, object recognition, audio signals, augmented reality, and screen pressure sensitivity.
10. A business and a technology platform as claimed in claim 8, wherein said offer engine is adapted to receive offers from third parties, which are then transmitted by said offer engine.
11. A business and a technology platform as claimed in claim 8, wherein as a result of activation of said trigger, instantaneous transactional capabilities are added to any of signs, billboards, out of home advertising, logos, packaging, business cards, advertising campaigns, direct response campaigns, and to all broadcast media, and gaming.
12. A business and a technology platform as claimed in claim 8, wherein said offer engine interacts with categories of transactional media including: gaming and wagering; streaming media; billboards and signs, phones, tablets and mobile devices; newspaper, magazine, and print media; and broadcast media and internet events.
13. A business and a technology platform as claimed in claim 8, wherein said offer engine is adapted to be implemented on mobile devices, iot devices, virtual devices, tablets, and robots using a pull advertising/marketing model
14. A business and a technology platform as claimed in claim 8, wherein said offer engine further comprises a transactional media platform which can investigate ad and user metrics within both graphical and statistical formats, and wherein said transactional media platform supports built in analytics capabilities, including dashboard summaries, traffic data, and transaction data.</t>
  </si>
  <si>
    <t>Weiner, Brian H.</t>
  </si>
  <si>
    <t>G06Q0030021100</t>
  </si>
  <si>
    <t>G06Q0030021100 | G06Q0030023900 | G06Q0030024600</t>
  </si>
  <si>
    <t>US20220292539A1</t>
  </si>
  <si>
    <t>US20220292539 A1</t>
  </si>
  <si>
    <t>I-000229697249</t>
  </si>
  <si>
    <t>20 years from 2022-03-09 (file date)</t>
  </si>
  <si>
    <t>https://patentscout.innography.com/share/21aCjLrQa4C8kkCplwWifA%3D%3D</t>
  </si>
  <si>
    <t>2022-04-13-INFORMATION ON STATUS: PATENT APPLICATION AND GRANTING PROCEDURE IN GENERAL</t>
  </si>
  <si>
    <t>https://patentscout.innography.com/share/21aCjLrQa4C8kkCplwWifA%3D%3D/download</t>
  </si>
  <si>
    <t>https://ppubs.uspto.gov/pubwebapp/external.html?q=20220292539.pn.</t>
  </si>
  <si>
    <t>1. A business and a technology platform for transmitting offers to a consumer, comprising:
an offer engine adapted to communicate an offer;
at least one trigger associated with an object which can be activated by the consumer;
said offer being communicated by activation of said at least one trigger.</t>
  </si>
  <si>
    <t>8. A business and a technology platform for transmitting offers to a consumer, comprising:
an offer engine adapted to receive an offer from a provider, and is adapted to add a transaction code to said offer and to then communicate said offer to media companies and metaverses;
at least one trigger associated with an object which can be perceived by the consumer and which can be activated by the consumer;
said offer being communicated by activation of said at least one trigger; and
at least one merchant processor for processing transactions by the consumer as a result of receiving said offer.</t>
  </si>
  <si>
    <t>WO2019143790 A1 | WO2020006048 A1 | WO2020086726 A2 | WO2020185601 A1</t>
  </si>
  <si>
    <t>2021-03-24</t>
  </si>
  <si>
    <t>2023-09-24</t>
  </si>
  <si>
    <t>A system for nerve stimulation can include a neuromodulation device configured to be worn by a patient the neuromodulation device configured for transcutaneous delivery of electrical stimulation to the tibial nerve; a mobile application executing on a mobile device in communication with the neuromodulation device the mobile application configured to monitor the transcutaneous delivery of the electrical stimulation by the neuromodulation device and cause the mobile device to display information about the transcutaneous delivery of the electrical stimulation to the tibial nerve; and a web service in communication with the mobile application the web service configured to transmit to the mobile application a treatment protocol and notifications defining the transcutaneous delivery of the electrical stimulation to the tibial nerve and receive from the mobile application the information about the transcutaneous delivery of the electrical stimulation to the tibial nerve.</t>
  </si>
  <si>
    <t>Systems and methods for transcutaneous posterior tibial nerve stimulation</t>
  </si>
  <si>
    <t>Soranus Arge Ve Danismanlik Hizmetleri Sanayi Ticaret Anonim Sirketi</t>
  </si>
  <si>
    <t>Soranus Arge Ve DaniŞmanlik Hİzmetlerİ Sanayİ Tİcaret A.Ş.</t>
  </si>
  <si>
    <t>SORANUS ARGE VE DANIŞMANLIK HİZMETLERİ SANAYİ TİCARET A.Ş.</t>
  </si>
  <si>
    <t>TR2022050268W</t>
  </si>
  <si>
    <t>1. A system for nerve stimulation, the system comprising: a neuromodulation device configured to be worn and adhered to a patient in proximity to a tibial nerve of the patient, the neuromodulation device configured for transcutaneous delivery of electrical stimulation to the tibial nerve; a mobile application executing on a mobile device in communication with the neuromodulation device, the mobile application configured to monitor the transcutaneous delivery of the electrical stimulation by the neuromodulation device and cause the mobile device to display information about the transcutaneous delivery of the electrical stimulation to the tibial nerve; and a web service in communication with the mobile application, the web service configured to transmit, to the mobile application, a treatment protocol and notifications defining the transcutaneous delivery of the electrical stimulation to the tibial nerve and receive, from the mobile application, the information about the transcutaneous delivery of the electrical stimulation to the tibial nerve.</t>
  </si>
  <si>
    <t>1. A system for nerve stimulation, the system comprising: a neuromodulation device configured to be worn and adhered to a patient in proximity to a tibial nerve of the patient, the neuromodulation device configured for transcutaneous delivery of electrical stimulation to the tibial nerve; a mobile application executing on a mobile device in communication with the neuromodulation device, the mobile application configured to monitor the transcutaneous delivery of the electrical stimulation by the neuromodulation device and cause the mobile device to display information about the transcutaneous delivery of the electrical stimulation to the tibial nerve; and a web service in communication with the mobile application, the web service configured to transmit, to the mobile application, a treatment protocol and notifications defining the transcutaneous delivery of the electrical stimulation to the tibial nerve and receive, from the mobile application, the information about the transcutaneous delivery of the electrical stimulation to the tibial nerve.
2. The system of claim 1, further comprising a plurality of positioning devices positioned in a treatment area and a tracker device worn by the patient, the web service configured to communicate with the plurality of positioning devices and the tracker device to identify a location of the tracker device for the web service to modify the treatment protocol based on the location of the tracker device.
3. The system of claim 1 or 2, wherein the mobile application is further configured to: identify, based on communications received from the tracker device or the plurality of positioning devices positioned in the treatment area, the location of the mobile device; generate, based on the location of the mobile device or the tracker device, a prompt for input of treatment activities; detect selected treatment activities associated with the treatment protocol responsive to the prompt; and transmit the location and the selected treatment activities to the web service
4. The system of any one of claims 1-3, wherein the neuromodulation device further comprises at least one light-emitting diode (LED) configured to emit light responsive to the transcutaneous delivery of the electrical stimulation to the tibial nerve .
5. The system of any one of claims 1-4, wherein the neuromodulation device further comprises a buzzer configured to generate audio signals responsive to the transcutaneous delivery of the electrical stimulation to the tibial nerve.
6. The system of any one of claims 1-5, wherein the neuromodulation device further comprises a voltage controller configured to modulate supply voltage for the transcutaneous delivery of the electrical stimulation to the tibial nerve.
7. The system of any one of claims 1-6, wherein the neuromodulation device further comprising: a first electrode and a second electrode configured for the transcutaneous delivery of the electrical stimulation to the tibial nerve; and a strap configured to couple to strap connectors extending from the neuromodulation device to secure the neuromodulation device to the patient .
8. The system of any one of claims 1-7, wherein the neuromodulation device is further configured to: store, responsive to termination of communications with the mobile device executing the mobile application, treatment activities to a memory of the neuromodulation device; and transmit, to the mobile device, the treatment activities upon re-establishing communications with the mobile device. 
9. The system of any one of claims 1-8, wherein the mobile application is further configured to: receive an assigned device identifier of the neuromodulation device of the patient responsive to validating a patient identifier of the patient; receive a candidate device identifier of the neuromodulation device attempting to establish communications with the mobile application; and establish the communications with the neuromodulation device responsive to matching the assigned device identifier of the neuromodulation device to the candidate device identifier of the neuromodulation device.
10. The system of any one of claims 1-9, wherein the neuromodulation device further comprises an accelerometer configured to measure mobility and activity of the patient.
11. The system of any one of claims 1-10, wherein the neuromodulation device further comprises memory configured to store treatment activities about the transcutaneous delivery of the electrical stimulation to the tibial nerve.
12. The system of any one of claims 1-11, further comprising a sensor device configured to be worn by the patient, the sensor device further configured to: generate sensor measurements comprising oxygen concentration, pulse, electrical frequency, electrical voltage, and accelerometer movements; and transmit the sensor measurements to the mobile application or to the neuromodulation device.
13. The system of claim 12, wherein the mobile application is further configured to: receive the sensor measurements from the sensor device; and generate a comparison between the sensor measurements and threshold measurements to verify proper placement of the neuromodulation device. 
14. The system of claim any one of claims 1-13, wherein the mobile application is further configured to: generate an interface comprising a patient image of an extremity of the patient to which to apply the neuromodulation device; identify, in the patient image, a treatment site on the extremity to which to apply the neuromodulation device; and generate a virtual image of the neuromodulation device overlayed on the treatment site in the patient image of the extremity for display in the interface to indicate where to position the neuromodulation device.
15. The system of any one of claims 1-14, wherein the mobile application is further configured to: communicate with a virtual reality headset; and generate a metaverse of the interface for display by the virtual reality headset.
16. The system of claim 15, wherein the mobile application is further configured to: receive, from the virtual reality headset, modifications to the treatment protocol.
17. The system of any one of claims 1-16, wherein the neuromodulation device further comprises feedback electrodes configured to generate electrical measurements for identifying a nerve threshold at which the patient reacts to neuromodulation; and wherein the neuromodulation device is further configured to transmit the electrical measurements to the mobile application.
18. The system of claim 17, wherein the mobile application is further configured to adjust a treatment current based on the electrical measurements received from the feedback electrodes of the neuromodulation device.
19. The system of claims 17 or 18, wherein the mobile application is further configured to modify the treatment protocol based on the electrical measurements received from the feedback electrodes of the neuromodulation device. 
20. A method for a patient to apply neuromodulation with a neuromodulation device worn by the patient, the method comprising: establishing, by one or more processors, communications with a mobile device executing a mobile application for managing a treatment protocol applied by the neuromodulation device to the patient; receiving, by the one or more processors, the treatment protocol to apply to the patient; and causing, by the one or more processors, responsive to receiving a signal from the mobile application to begin applying the treatment protocol, the neuromodulation device to begin transcutaneous delivery to apply the neuromodulation to a tibial nerve of the patient.
21. The method of claim 20, the method further comprising: receiving, by the one or more processors, from feedback electrodes of the neuromodulation device, electrical measurements for identifying a nerve threshold at which the patient reacts to neuromodulation; and transmitting, by the one or more processors, the electrical measurements to the mobile application.
22. The method of any one of claims 20-21, the method further comprising: selecting, by the one or more processors, a supply voltage and a treatment current for the neuromodulation device, the treatment current identified in the communications from the mobile device.
23. The method of claim 22, the method further comprising: detecting, by the one or more processors, a treatment voltage applied by the neuromodulation device to the patient to apply the treatment protocol, the treatment voltage based on the supply voltage and the treatment current; increasing, by the one or more processors, the supply voltage responsive to a difference between the supply voltage and the treatment voltage satisfying a first threshold; or decreasing, by the one or more processors, the supply voltage responsive to the difference between the supply voltage and the treatment voltage satisfying a second threshold.
24. The method of claim 23, the method further comprising: transmitting, by the one or more processors, to the mobile application, an identification of the treatment current and an identifier of the neuromodulation device; receiving, by the one or more processors, from the mobile application, an adjusted treatment current; and causing, by the one or more processors, a current source of the neuromodulation device to generate the adjusted treatment current.
25. A method for managing neuromodulation on a mobile application to improve adherence to treatment, the method comprising: receiving, by one or more processors, from a web service, a treatment protocol to be applied by a neuromodulation device to a tibial nerve of a patient; detecting, by the one or more processors, a selection to increase a treatment current for applying the treatment protocol; and transmitting, by the one or more processors, treatment parameters included in the treatment protocol and the treatment current to the neuromodulation device.
26. The method of claim 25, wherein the selection is a first selection and further comprising: detecting, by the one or more processors, a second selection to decrease the treatment current. 
27. The method of claim 25, wherein the selection is a first selection and further comprising: detecting, by the one or more processors, a second selection for the neuromodulation device to begin transcutaneous delivery to apply the neuromodulation to the tibial nerve; and transmitting, by the one or more processors, a signal to the neuromodulation device to begin the transcutaneous delivery to apply the neuromodulation to the tibial nerve.
28. The method of any one of claims 25-27, the method further comprising: identifying, by the one or more processors, the treatment current being applied by the neuromodulation device.
29. The method of claim 25, wherein the selection is a first selection and the method further comprising: generating, by the one or more processors, a first interface to adjust the treatment current to be applied by the neuromodulation device to the patient; detecting, by the one or more processors, a second selection of an adjusted treatment current; transmitting, by the one or more processors, the adjusted treatment current to the neuromodulation device; and generating, by the one or more processors, a second interface to display the adjusted treatment current to the patient.
30. The method of any one of claims 25-29, wherein the mobile application is further configured to adjust the treatment current based on electrical measurements received from feedback electrodes of the neuromodulation device.
31. The method of any one of claims 25-29, wherein the mobile application is further configured to modify the treatment protocol based on electrical measurements received from feedback electrodes of the neuromodulation device. 
32. The method of any one of claims 25-29, the method further comprising: generating, by the one or more processors, a prompt for input of treatment activities; detecting, by the one or more processors, selections of the treatment activities to refine the treatment protocol; transmitting, by the one or more processors, to the web service, the treatment activities; and receiving, by the one or more processors, from the web service, modifications to the treatment protocol based on the treatment activities.
33. The method of any one of claims 25-29, the method further comprising: generating, by the one or more processors, a prompt for input of treatment activities; detecting, by the one or more processors, selections of the treatment activities to refine the treatment protocol; identifying, by the one or more processors, based on communications received from a plurality of positioning devices positioned in a treatment area and a tracker device worn by the patient, a location of the patient; transmitting, by the one or more processors, to the web service, the location and the treatment activities; and receiving, by the one or more processors, from the web service, modifications to the treatment protocol based on the location and the treatment activities.
34. The method of any one of claims 25-29, the method further comprising: identifying, by the one or more processors, a patient identifier of the patient from a detected input of authentication information; receiving, by the one or more processors, an assigned device identifier of the neuromodulation device assigned to the patient identifier; receiving, by the one or more processors, a candidate device identifier from the neuromodulation device for applying the treatment protocol to the patient; and establishing, by the one or more processors, communications with the neuromodulation device responsive to verifying a match between the candidate device identifier and the assigned device identifier.
35. The method of any one of claims 25-29, the method further comprising: identifying, by the one or more processors, termination of communications with the neuromodulation device; and receiving, by the one or more processors, the treatment protocol upon re establishing communications with the neuromodulation device.
36. The method of any one of claims 25-29, the method further comprising: generating, by the one or more processors, an interface comprising a patient image of an extremity of the patient to which to apply the neuromodulation device; identifying, by the one or more processors, in the patient image, a treatment site on the extremity to which to apply the neuromodulation device; and generating, by the one or more processors, a virtual image of the neuromodulation device overlayed on the treatment site in the patient image of the extremity for display in the interface to indicate where to position the neuromodulation device.
37. The method of claim 36, the method further comprising: communicating, by the one or more processors, with a virtual reality headset; and generating, by the one or more processors, a metaverse of the interface for display by the virtual reality headset.
38. The method of claim 37, the method further comprising: receiving, by the one or more processors, from the virtual reality headset, modifications to the treatment protocol. 
39. A method for administering neuromodulation by a web service, the method comprising: generating, by one or more processors, a selectable menu for a healthcare provider to configure treatment parameters defining a treatment protocol to be applied to a patient by a neuromodulation device; and transmitting, by the one or more processors, the selectable menu to a web application for display to the healthcare provider receiving, by the one or more processors, the treatment parameters from the web application; and transmitting, by the one or more processors, the treatment parameters to a mobile device executing a mobile application associated with the neuromodulation device, the mobile application causing the neuromodulation device to apply the treatment protocol.
40. The method of claim 39, wherein transmitting the treatment parameters comprises: receiving, by the one or more processors, an assigned device identifier of the neuromodulation device assigned to a patient identifier; and transmitting, by the one or more processors, the treatment parameters and the assigned device identifier to the mobile device executing the mobile application associated with the patient identifier, the mobile application causing the neuromodulation device to apply the treatment protocol responsive to the mobile application matching the assigned device identifier to a candidate device identifier received from the neuromodulation device.
41. The method of any one of claims 39-40, the method further comprising: receiving, by the one or more processors, treatment activities from the mobile application, the treatment activities comprising a treatment current being applied by the neuromodulation device, a timestamp of when the treatment current was applied, and a location of the mobile device or a tracker device; generating, by the one or more processors, a modified treatment protocol based on the treatment activities; and transmitting, by the one or more processors, the modified treatment protocol to the mobile application.
42. The method of claim 41, the method further comprising: generating, by the one or more processors, a report for display by the web application to the healthcare provider, the report comprising the treatment activities.
43. The method of claim 41, wherein generating the modified treatment protocol based on the treatment activities: establishing, by the one or more processors, communications with a plurality of positioning devices positioned in a treatment area and the tracker device worn by the patient; identifying, by the one or more processors, based on the communications, the location of the mobile device or the tracker device for the web service to modify the treatment protocol based on the location; and generating, by the one or more processors, the modified treatment protocol based on the location and the treatment activities.
44. The method of claim 41, the method further comprising: generating, by the one or more processors, a notification to remind the patient about the modified treatment protocol; and transmitting, by the one or more processors, the notification to the mobile application for display to the patient.
45. A system for nerve stimulation, the system comprising: a neuromodulation device configured to be worn and adhered to a patient in proximity to a tibial nerve of the patient, the neuromodulation device configured for transcutaneous delivery of electrical stimulation to the tibial nerve; a mobile application executing on a mobile device in communication with the neuromodulation device, the mobile application configured to monitor the transcutaneous delivery of the electrical stimulation by the neuromodulation device and cause the mobile device to display information about the transcutaneous delivery of the electrical stimulation to the tibial nerve; and a web service in communication with the mobile application, the web service configured to transmit, to the mobile application, a treatment protocol and notifications defining the transcutaneous delivery of the electrical stimulation to the tibial nerve and receive, from the mobile application, the information about the transcutaneous delivery of the electrical stimulation to the tibial nerve.
46. The system of claim 45, further comprising a plurality of positioning devices positioned in a treatment area and a tracker device worn by the patient, the web service configured to communicate with the plurality of positioning devices and the tracker device to identify a location of the tracker device for the web service to modify the treatment protocol based on the location of the tracker device.
47. The system of claim 46, wherein the mobile application is further configured to: identify, based on communications received from the tracker device or the plurality of positioning devices positioned in the treatment area, the location of the mobile device; generate, based on the location of the mobile device or the tracker device, a prompt for input of treatment activities; detect selected treatment activities associated with the treatment protocol responsive to the prompt; and transmit the location and the selected treatment activities to the web service.
48. The system of claim 45, wherein the neuromodulation device further comprises at least one light-emitting diode (LED) configured to emit light responsive to the transcutaneous delivery of the electrical stimulation to the tibial nerve.
49. The system of claim 45, wherein the neuromodulation device further comprises an buzzer configured to generate audio signals responsive to the transcutaneous delivery of the electrical stimulation to the tibial nerve. 
50. The system of claim 45, wherein the neuromodulation device further comprises a voltage controller configured to modulate supply voltage for the transcutaneous delivery of the electrical stimulation to the tibial nerve.
51. The system of claim 45, wherein the neuromodulation device further comprising: a first electrode and a second electrode configured for the transcutaneous delivery of the electrical stimulation to the tibial nerve; and a strap configured to couple to strap connectors extending from the neuromodulation device to secure the neuromodulation device to the patient.
52. The system of claim 45, wherein the neuromodulation device is further configured to: store, responsive to termination of communications with the mobile device executing the mobile application, treatment activities to a memory of the neuromodulation device; and transmit, to the mobile device, the treatment activities upon re-establishing communications with the mobile device.
53. The system of claim 45, wherein the mobile application is further configured to: receive an assigned device identifier of the neuromodulation device of the patient responsive to validating a patient identifier of the patient; receive a candidate device identifier of the neuromodulation device attempting to establish communications with the mobile application; and establish the communications with the neuromodulation device responsive to matching the assigned device identifier of the neuromodulation device to the candidate device identifier of the neuromodulation device.
54. The system of any one of claims 45-53, wherein the neuromodulation device further comprises an accelerometer configured to measure mobility and activity of the patient. 
55. The system of any one of claims 45-53, wherein the neuromodulation device further comprises memory configured to store treatment activities about the transcutaneous delivery of the electrical stimulation to the tibial nerve.
56. The system of any one of claims 45-53, further comprising a sensor device configured to be worn by the patient, the sensor device further configured to: generate sensor measurements comprising oxygen concentration, pulse, electrical frequency, electrical voltage, and accelerometer movements; and transmit the sensor measurements to the mobile application or to the neuromodulation device.
57. The system of claim 56, wherein the mobile application is further configured to: receive the sensor measurements from the sensor device; and generate a comparison between the sensor measurements and threshold measurements to verify proper placement of the neuromodulation device.
58. The system of claim any one of claims 45-53, wherein the mobile application is further configured to: generate an interface comprising a patient image of an extremity of the patient to which to apply the neuromodulation device; identify, in the patient image, a treatment site on the extremity to which to apply the neuromodulation device; and generate a virtual image of the neuromodulation device overlayed on the treatment site in the patient image of the extremity for display in the interface to indicate where to position the neuromodulation device.
59. The system of claim 58, wherein the mobile application is further configured to: communicate with a virtual reality headset; and generate a metaverse of the interface for display by the virtual reality headset. 
60. The system of claim 59, wherein the mobile application is further configured to: receive, from the virtual reality headset, modifications to the treatment protocol .
61. The system of any one of claims 45-53, wherein the neuromodulation device further comprises feedback electrodes configured to generate electrical measurements for identifying a nerve threshold at which the patient reacts to neuromodulation; and wherein the neuromodulation device is further configured to transmit the electrical measurements to the mobile application.
62. The system of claim 61, wherein the mobile application is further configured to adjust a treatment current based on the electrical measurements received from the feedback electrodes of the neuromodulation device .
63. The system of claim 62, wherein the mobile application is further configured to modify the treatment protocol based on the electrical measurements received from the feedback electrodes of the neuromodulation device.</t>
  </si>
  <si>
    <t>Yeniel, Ahmet Ozgur|Ergenoglu, Ahmet Mete|Temel, Serdal|Basaran, Ilker|Bulunur, Gokhan|Germiyan, Ozgun Selim|Kocak, Engin</t>
  </si>
  <si>
    <t>A61N0001045600</t>
  </si>
  <si>
    <t>A61N0001045600 | A61B0005002200 | A61B0005145510 | A61B0005202000 | A61B0005294000 | A61B0005388000 | A61B0005404100 | A61B0005483600 | A61B0005682800 | A61B0005682900 | A61B0005683300 | A61B0005743500 | G16H0010200000 | G16H0020300000 | G16H0040630000 | G16H0040670000 | G16H0050200000 | G16H0050300000 | G16H0050700000</t>
  </si>
  <si>
    <t>A61N00104000</t>
  </si>
  <si>
    <t>A61N00104000 | A61B00500000</t>
  </si>
  <si>
    <t>WO2022203640A1</t>
  </si>
  <si>
    <t>$7518</t>
  </si>
  <si>
    <t>WO2022203640 A1</t>
  </si>
  <si>
    <t>I-000230224400</t>
  </si>
  <si>
    <t>30 months from 2021-03-24 (priority date)</t>
  </si>
  <si>
    <t>https://patentscout.innography.com/share/Dm501_DNJzTpFhEQHGD7FA%3D%3D</t>
  </si>
  <si>
    <t>2022-11-09-EP: THE EPO HAS BEEN INFORMED BY WIPO THAT EP WAS DESIGNATED IN THIS APPLICATION</t>
  </si>
  <si>
    <t>https://patentscout.innography.com/share/Dm501_DNJzTpFhEQHGD7FA%3D%3D/download</t>
  </si>
  <si>
    <t>https://v3.espacenet.com/publicationDetails/biblio?CC=WO&amp;NR=2022203640A1&amp;KC=A1&amp;FT=D&amp;date=20220929&amp;DB=EPODOC&amp;locale=</t>
  </si>
  <si>
    <t>WO2022148839 A1</t>
  </si>
  <si>
    <t>2.  1.  A system for nerve stimulation, the system comprising: a neuromodulation device configured to be worn and adhered to a patient in proximity to a tibial nerve of the patient, the neuromodulation device configured for transcutaneous delivery of electrical stimulation to the tibial nerve; a mobile application executing on a mobile device in communication with the neuromodulation device, the mobile application configured to monitor the transcutaneous delivery of the electrical stimulation by the neuromodulation device and cause the mobile device to display information about the transcutaneous delivery of the electrical stimulation to the tibial nerve; and a web service in communication with the mobile application, the web service configured to transmit, to the mobile application, a treatment protocol and notifications defining the transcutaneous delivery of the electrical stimulation to the tibial nerve and receive, from the mobile application, the information about the transcutaneous delivery of the electrical stimulation to the tibial nerve.</t>
  </si>
  <si>
    <t>21.  20.  A method for a patient to apply neuromodulation with a neuromodulation device worn by the patient, the method comprising: establishing, by one or more processors, communications with a mobile device executing a mobile application for managing a treatment protocol applied by the neuromodulation device to the patient; receiving, by the one or more processors, the treatment protocol to apply to the patient; and causing, by the one or more processors, responsive to receiving a signal from the mobile application to begin applying the treatment protocol, the neuromodulation device to begin transcutaneous delivery to apply the neuromodulation to a tibial nerve of the patient.</t>
  </si>
  <si>
    <t>26.  25.  A method for managing neuromodulation on a mobile application to improve adherence to treatment, the method comprising: receiving, by one or more processors, from a web service, a treatment protocol to be applied by a neuromodulation device to a tibial nerve of a patient; detecting, by the one or more processors, a selection to increase a treatment current for applying the treatment protocol; and transmitting, by the one or more processors, treatment parameters included in the treatment protocol and the treatment current to the neuromodulation device.</t>
  </si>
  <si>
    <t>40.  39.  A method for administering neuromodulation by a web service, the method comprising: generating, by one or more processors, a selectable menu for a healthcare provider to configure treatment parameters defining a treatment protocol to be applied to a patient by a neuromodulation device; and transmitting, by the one or more processors, the selectable menu to a web application for display to the healthcare provider receiving, by the one or more processors, the treatment parameters from the web application; and transmitting, by the one or more processors, the treatment parameters to a mobile device executing a mobile application associated with the neuromodulation device, the mobile application causing the neuromodulation device to apply the treatment protocol.</t>
  </si>
  <si>
    <t>46.  45.  A system for nerve stimulation, the system comprising: a neuromodulation device configured to be worn and adhered to a patient in proximity to a tibial nerve of the patient, the neuromodulation device configured for transcutaneous delivery of electrical stimulation to the tibial nerve; a mobile application executing on a mobile device in communication with the neuromodulation device, the mobile application configured to monitor the transcutaneous delivery of the electrical stimulation by the neuromodulation device and cause the mobile device to display information about the transcutaneous delivery of the electrical stimulation to the tibial nerve; and a web service in communication with the mobile application, the web service configured to transmit, to the mobile application, a treatment protocol and notifications defining the transcutaneous delivery of the electrical stimulation to the tibial nerve and receive, from the mobile application, the information about the transcutaneous delivery of the electrical stimulation to the tibial nerve.</t>
  </si>
  <si>
    <t>KR101875163 B1 | KR101999796 B1 | KR102355550 B1 | KR20160019576 A | KR20180108049 A | KR20190096220 A | KR20190096231 A | KR20200021032 A</t>
  </si>
  <si>
    <t>According to an embodiment in a method for providing a medical device transaction and sharing platform service based on a block chain performed by a device it is confirmed that a first purchaser is registered as a member of the medical device transaction and sharing platform service. If so generating a first block corresponding to the first purchaser identification information and registering the first block on a blockchain; When it is confirmed that the first buyer and the first seller are matched as a business partner for trading the first medical device a second block corresponding to the first seller identification information is generated and the second block is converted into the first block. Connecting to and registering on the blockchain; When it is confirmed that a transaction for the first medical device has been performed between the first buyer and the first seller at a first point in time a third block corresponding to the first transaction information which is transaction information at the first point in time is generated; connecting the third block to the second block and registering the third block on the blockchain; and when it is confirmed that a transaction for the first medical device has been performed between the first purchaser and the first seller at a second time point after the first time point a second transaction information corresponding to the transaction information at the second time point. A blockchain-based medical device transaction and sharing platform service providing method is provided including generating 4 blocks connecting the fourth block to the third block and registering them on the blockchain.</t>
  </si>
  <si>
    <t>Method, device and system for providing medical equipment trading and sharing platform service based on blockchain</t>
  </si>
  <si>
    <t>Daeha Fnc Co., Ltd.</t>
  </si>
  <si>
    <t>DAEHA FNC CO., LTD.</t>
  </si>
  <si>
    <t>KR20220050233A</t>
  </si>
  <si>
    <t>In the method of providing a medical device transaction and sharing platform service based on a block chain performed by a device, when it is confirmed that a first purchaser is registered as a member of the medical device transaction and sharing platform service, the first purchaser is identified. generating a first block corresponding to information and registering the first block on a blockchain;When it is confirmed that the first buyer and the first seller are matched as a business partner for trading the first medical device, a second block corresponding to the first seller identification information is generated, and the second block is converted into the first block. Connecting to and registering on the blockchain;When it is confirmed that a transaction for the first medical device has been performed between the first buyer and the first seller at a first point in time, a third block corresponding to the first transaction information, which is transaction information at the first point in time, is generated; connecting the third block to the second block and registering the third block on the blockchain;If it is confirmed that a transaction for the first medical device has been performed between the first purchaser and the first seller at a second time point after the first time point, a fourth transaction corresponding to the second transaction information, which is the transaction information at the second time point, is performed. generating a block, connecting the fourth block to the third block, and registering the block on the blockchain;Receiving a NFT request for a first character that is a character of a first doctor from a first purchaser terminal;Checking whether an NFT for the first character has been issued;If it is confirmed that the NFT for the first character is not issued, acquiring a first image that is an image for the first character;generating the first NFT by issuing a first NFT that is an NFT for the first image;When the first doctor is working in the first department of the first hospital, it is checked whether an NFT for the second character, which is a character of the first department, is issued, and 3 Checking whether the NFT for the character has been issued;If it is confirmed that the NFT for the second character is not issued, obtaining a second image that is an image for the second character;issuing a second NFT that is an NFT for the second image to generate the second NFT;If it is confirmed that the NFT for the third character is not issued, obtaining a third image that is an image for the third character;generating the third NFT by issuing a third NFT that is an NFT for the third image;controlling a hospital selection screen to be displayed on the output device when it is confirmed that the first user is wearing the output device;When the first user is wearing the operating device and the first hospital is selected on the hospital selection screen through the operating device, the lobby of the first hospital is displayed in a first virtual space implemented as a metaverse environment. To access the first user, control the screen of the first virtual space to be displayed on the output device, and display the avatar of a guide for guiding the first hospital as the third character on the first virtual space. controlling;controlling a treatment course selection screen to be displayed on the output device when a course confirmation menu is selected in the first virtual space through the manipulation device;When the first medical subject is selected on the medical subject selection screen through the manipulation device, the first user is connected to a second virtual space in which a corridor of the first medical subject is implemented as a metaverse environment. 2 controlling a screen of the virtual space to be displayed on the output device, and controlling an avatar of a guide for guiding the first treatment subject to be displayed as the second character on the second virtual space;controlling an intention selection screen to be displayed on the output device when an intention confirmation menu is selected in the second virtual space through the manipulation device; and when the first doctor is selected on the doctor selection screen through the manipulation device, the third virtual space so that the first user is connected to a third virtual space in which the first doctor's office is implemented as a metaverse environment. The screen of the space is controlled to be displayed on the output device, and if it is confirmed that the first doctor is connected to the third virtual space, the avatar of the first doctor is displayed as the first character on the third virtual space. A blockchain-based medical device transaction and sharing platform service providing method, including the step of controlling to be.</t>
  </si>
  <si>
    <t>In the method of providing a medical device transaction and sharing platform service based on a block chain performed by a device, when it is confirmed that a first purchaser is registered as a member of the medical device transaction and sharing platform service, the first purchaser is identified. generating a first block corresponding to information and registering the first block on a blockchain;When it is confirmed that the first buyer and the first seller are matched as a business partner for trading the first medical device, a second block corresponding to the first seller identification information is generated, and the second block is converted into the first block. Connecting to and registering on the blockchain;When it is confirmed that a transaction for the first medical device has been performed between the first buyer and the first seller at a first point in time, a third block corresponding to the first transaction information, which is transaction information at the first point in time, is generated; connecting the third block to the second block and registering the third block on the blockchain;If it is confirmed that a transaction for the first medical device has been performed between the first purchaser and the first seller at a second time point after the first time point, a fourth transaction corresponding to the second transaction information, which is the transaction information at the second time point, is performed. generating a block, connecting the fourth block to the third block, and registering the block on the blockchain;Receiving a NFT request for a first character that is a character of a first doctor from a first purchaser terminal;Checking whether an NFT for the first character has been issued;If it is confirmed that the NFT for the first character is not issued, acquiring a first image that is an image for the first character;generating the first NFT by issuing a first NFT that is an NFT for the first image;When the first doctor is working in the first department of the first hospital, it is checked whether an NFT for the second character, which is a character of the first department, is issued, and 3 Checking whether the NFT for the character has been issued;If it is confirmed that the NFT for the second character is not issued, obtaining a second image that is an image for the second character;issuing a second NFT that is an NFT for the second image to generate the second NFT;If it is confirmed that the NFT for the third character is not issued, obtaining a third image that is an image for the third character;generating the third NFT by issuing a third NFT that is an NFT for the third image;controlling a hospital selection screen to be displayed on the output device when it is confirmed that the first user is wearing the output device;When the first user is wearing the operating device and the first hospital is selected on the hospital selection screen through the operating device, the lobby of the first hospital is displayed in a first virtual space implemented as a metaverse environment. To access the first user, control the screen of the first virtual space to be displayed on the output device, and display the avatar of a guide for guiding the first hospital as the third character on the first virtual space. controlling;controlling a treatment course selection screen to be displayed on the output device when a course confirmation menu is selected in the first virtual space through the manipulation device;When the first medical subject is selected on the medical subject selection screen through the manipulation device, the first user is connected to a second virtual space in which a corridor of the first medical subject is implemented as a metaverse environment. 2 controlling a screen of the virtual space to be displayed on the output device, and controlling an avatar of a guide for guiding the first treatment subject to be displayed as the second character on the second virtual space;controlling an intention selection screen to be displayed on the output device when an intention confirmation menu is selected in the second virtual space through the manipulation device; and when the first doctor is selected on the doctor selection screen through the manipulation device, the third virtual space so that the first user is connected to a third virtual space in which the first doctor's office is implemented as a metaverse environment. The screen of the space is controlled to be displayed on the output device, and if it is confirmed that the first doctor is connected to the third virtual space, the avatar of the first doctor is displayed as the first character on the third virtual space. A blockchain-based medical device transaction and sharing platform service providing method, including the step of controlling to be.
delete
The method of claim 1, further comprising: checking a first numerical value, which is the number of blocks connected to the first block at a third point in time;checking whether the first value is greater than a preset first reference value;calculating a first amount by multiplying the first value by a preset first reference amount when it is confirmed that the first value is greater than the first reference value;paying virtual currency corresponding to the first amount to the first purchaser as a transaction incentive;checking a second numerical value, which is the number of blocks connected to the first block, at a fourth point in time after a first reference period has passed from the third point in time;calculating a third numerical value by subtracting the first numerical value from the second numerical value;checking whether the third value is greater than a preset second reference value;calculating a second amount by multiplying the third value by a preset second reference amount when it is confirmed that the third value is greater than the second reference value; and additionally paying virtual currency corresponding to the second amount to the first purchaser as a transaction incentive.</t>
  </si>
  <si>
    <t>Choi, Kyu Chel</t>
  </si>
  <si>
    <t>G06Q03006000 | G06N00308000 | G06N02000000 | G06Q01008000 | G06Q02006000 | G06Q03002000 | G06T01340000 | G06T01900000 | H04L00906000 | H04L06710970 | H04L06753000</t>
  </si>
  <si>
    <t>KR102470154B1</t>
  </si>
  <si>
    <t>KR102470154 B1</t>
  </si>
  <si>
    <t>I-000233025866</t>
  </si>
  <si>
    <t>https://patentscout.innography.com/share/5L04XLYnaT22-6mFi8tZJA%3D%3D</t>
  </si>
  <si>
    <t>2022-11-04-DECISION TO GRANT OR REGISTRATION OF PATENT RIGHT|2022-11-18-WRITTEN DECISION TO GRANT</t>
  </si>
  <si>
    <t>https://patentscout.innography.com/share/5L04XLYnaT22-6mFi8tZJA%3D%3D/download</t>
  </si>
  <si>
    <t>https://v3.espacenet.com/publicationDetails/biblio?CC=KR&amp;NR=102470154B1&amp;KC=B1&amp;FT=D&amp;date=20221124&amp;DB=EPODOC&amp;locale=</t>
  </si>
  <si>
    <t>KR20102470154 B1</t>
  </si>
  <si>
    <t>1.  In the method of providing a medical device transaction and sharing platform service based on a block chain performed by a device, when it is confirmed that a first purchaser is registered as a member of the medical device transaction and sharing platform service, the first purchaser is identified. generating a first block corresponding to information and registering the first block on a blockchain;When it is confirmed that the first buyer and the first seller are matched as a business partner for trading the first medical device, a second block corresponding to the first seller identification information is generated, and the second block is converted into the first block. Connecting to and registering on the blockchain;When it is confirmed that a transaction for the first medical device has been performed between the first buyer and the first seller at a first point in time, a third block corresponding to the first transaction information, which is transaction information at the first point in time, is generated; connecting the third block to the second block and registering the third block on the blockchain;If it is confirmed that a transaction for the first medical device has been performed between the first purchaser and the first seller at a second time point after the first time point, a fourth transaction corresponding to the second transaction information, which is the transaction information at the second time point, is performed. generating a block, connecting the fourth block to the third block, and registering the block on the blockchain;Receiving a NFT request for a first character that is a character of a first doctor from a first purchaser terminal;Checking whether an NFT for the first character has been issued;If it is confirmed that the NFT for the first character is not issued, acquiring a first image that is an image for the first character;generating the first NFT by issuing a first NFT that is an NFT for the first image;When the first doctor is working in the first department of the first hospital, it is checked whether an NFT for the second character, which is a character of the first department, is issued, and 3 Checking whether the NFT for the character has been issued;If it is confirmed that the NFT for the second character is not issued, obtaining a second image that is an image for the second character;issuing a second NFT that is an NFT for the second image to generate the second NFT;If it is confirmed that the NFT for the third character is not issued, obtaining a third image that is an image for the third character;generating the third NFT by issuing a third NFT that is an NFT for the third image;controlling a hospital selection screen to be displayed on the output device when it is confirmed that the first user is wearing the output device;When the first user is wearing the operating device and the first hospital is selected on the hospital selection screen through the operating device, the lobby of the first hospital is displayed in a first virtual space implemented as a metaverse environment. To access the first user, control the screen of the first virtual space to be displayed on the output device, and display the avatar of a guide for guiding the first hospital as the third character on the first virtual space. controlling;controlling a treatment course selection screen to be displayed on the output device when a course confirmation menu is selected in the first virtual space through the manipulation device;When the first medical subject is selected on the medical subject selection screen through the manipulation device, the first user is connected to a second virtual space in which a corridor of the first medical subject is implemented as a metaverse environment. 2 controlling a screen of the virtual space to be displayed on the output device, and controlling an avatar of a guide for guiding the first treatment subject to be displayed as the second character on the second virtual space;controlling an intention selection screen to be displayed on the output device when an intention confirmation menu is selected in the second virtual space through the manipulation device; and when the first doctor is selected on the doctor selection screen through the manipulation device, the third virtual space so that the first user is connected to a third virtual space in which the first doctor's office is implemented as a metaverse environment. The screen of the space is controlled to be displayed on the output device, and if it is confirmed that the first doctor is connected to the third virtual space, the avatar of the first doctor is displayed as the first character on the third virtual space. A blockchain-based medical device transaction and sharing platform service providing method, including the step of controlling to be.</t>
  </si>
  <si>
    <t>JP2009059091 A | JP2005530233 A | JP2002183068 A | JP2007164803 A | JP2002132830 A | JPH0863324 A | JPH09198407 A</t>
  </si>
  <si>
    <t>2010-11-25</t>
  </si>
  <si>
    <t>2009-05-15</t>
  </si>
  <si>
    <t>An object of the present invention is to effectively link a metaverse and a two-dimensional page by dynamically changing the scale of the metaverse based on an index related to the two-dimensional page.  In a server device 1 in which a computer provides a display of a two-dimensional web page and a three-dimensional virtual space to a client terminal T via a communication network N a web page providing means 10 provides the web page to the terminal T. The three-dimensional space providing unit 50 provides the terminal T with a display of the three-dimensional virtual space corresponding to the web page. The three-dimensional space transition information acquiring unit 20 and the web page transition information acquiring unit 60 The display of the web page and the three-dimensional virtual space is switched according to the operation. The index acquisition unit 30 acquires a predetermined index related to the web page corresponding to the three-dimensional virtual space related to the display and the three-dimensional space scale determination unit 40 determines the three-dimensional virtual space related to the display according to the acquired index value. Change the scale of.  [Selection] Figure 1</t>
  </si>
  <si>
    <t>Server device and method for changing size of three-dimensional space by web index</t>
  </si>
  <si>
    <t>virtual space|three-dimensional virtual space|three-dimensional virtual</t>
  </si>
  <si>
    <t>JP2009118134A</t>
  </si>
  <si>
    <t>In a server device in which a computer provides a display of a two-dimensional web page and a three-dimensional virtual space to a client terminal via a communication network,  Means for providing a web page to the terminal;  Means for providing the terminal with a display of a three-dimensional virtual space corresponding to a web page;  Means for switching the display of the web page and the three-dimensional virtual space in accordance with an operation from the terminal;  Means for obtaining a predetermined index relating to a web page corresponding to a three-dimensional virtual space for display;  Means for changing the scale of the three-dimensional virtual space for display according to the value of the acquired index;  Is realized by the computer.
  The server apparatus according to claim 1, wherein the index is an index representing a popularity degree of a web page.
  The server device according to claim 1, wherein the index is a depth of a hierarchy in a website configured in a hierarchy for the web page.
  The server apparatus according to claim 2, wherein the acquisition of the index and the change in scale are repeated at predetermined time intervals.
In a display method in which a server device provided by a computer displays a two-dimensional web page and a three-dimensional virtual space on a client terminal via a communication network,  Providing a web page to the terminal;  Providing the terminal with a display of a three-dimensional virtual space corresponding to a web page;  A process of switching display between the web page and the three-dimensional virtual space in accordance with an operation from the terminal;  Processing for obtaining a predetermined index relating to a web page corresponding to a three-dimensional virtual space related to display;  A process of changing the scale of the three-dimensional virtual space related to the display according to the acquired index value;  The display method characterized in that the computer executes.</t>
  </si>
  <si>
    <t>Ogawa, Shinichiro|Suzuki, Kenji|Namiki, Ryota</t>
  </si>
  <si>
    <t>JP4937298 B2</t>
  </si>
  <si>
    <t>G06F0003048000</t>
  </si>
  <si>
    <t>G06F00304800 | G06F01300000</t>
  </si>
  <si>
    <t>JP2010267095A|JP4937298B2</t>
  </si>
  <si>
    <t>JP2010267095 A | JP4937298 B2</t>
  </si>
  <si>
    <t>I-000097485321</t>
  </si>
  <si>
    <t>Application expired due to grant (JP4937298 B2)</t>
  </si>
  <si>
    <t>https://patentscout.innography.com/share/zxLB_zoePuXaqetTClTwKw%3D%3D</t>
  </si>
  <si>
    <t>2012-01-25-DECISION OF GRANT OR REJECTION WRITTEN|2012-02-01-REPORT ON RETRIEVAL|2012-02-08-WRITTEN DECISION TO GRANT A PATENT OR TO GRANT A REGISTRATION (UTILITY MODEL)|2012-02-09-WRITTEN DECISION TO GRANT A PATENT OR TO GRANT A REGISTRATION (UTILITY MODEL)|2012-03-01-FIRST PAYMENT OF ANNUAL FEES (DURING GRANT PROCEDURE)|2012-03-02-CERTIFICATE OF PATENT OR REGISTRATION OF UTILITY MODEL|2012-03-02-RENEWAL FEE PAYMENT (EVENT DATE IS RENEWAL DATE OF DATABASE)|2012-03-02-CERTIFICATE OF PATENT OR REGISTRATION OF UTILITY MODEL|2015-01-27-RECEIPT OF ANNUAL FEES|2016-01-19-RECEIPT OF ANNUAL FEES|2016-11-21-WRITTEN REQUEST FOR REGISTRATION OF CHANGE OF DOMICILE|2016-11-30-WRITTEN NOTIFICATION OF REGISTRATION OF TRANSFER|2017-01-24-RECEIPT OF ANNUAL FEES|2018-01-23-RECEIPT OF ANNUAL FEES|2019-01-15-RECEIPT OF ANNUAL FEES|2019-10-29-WRITTEN REQUEST FOR REGISTRATION OF CHANGE OF NAME|2019-12-25-WRITTEN NOTIFICATION OF REGISTRATION OF TRANSFER|2020-03-03-REQUEST FOR CHANGE OF OWNERSHIP OR PART OF OWNERSHIP|2020-03-11-WRITTEN NOTIFICATION OF REGISTRATION OF TRANSFER|2020-03-16-RECEIPT OF ANNUAL FEES|2020-03-19-RECEIPT OF ANNUAL FEES|2021-09-17-RECEIPT OF ANNUAL FEES|2022-11-21-RECEIPT OF ANNUAL FEES</t>
  </si>
  <si>
    <t>https://patentscout.innography.com/share/zxLB_zoePuXaqetTClTwKw%3D%3D/download</t>
  </si>
  <si>
    <t>https://v3.espacenet.com/publicationDetails/biblio?CC=JP&amp;NR=2010267095A&amp;KC=A&amp;FT=D&amp;date=20101125&amp;DB=EPODOC&amp;locale=</t>
  </si>
  <si>
    <t>JP2010267095 A</t>
  </si>
  <si>
    <t>1. In a server device in which a computer provides a display of a two-dimensional web page and a three-dimensional virtual space to a client terminal via a communication network,  Means for providing a web page to the terminal;  Means for providing the terminal with a display of a three-dimensional virtual space corresponding to a web page;  Means for switching the display of the web page and the three-dimensional virtual space in accordance with an operation from the terminal;  Means for obtaining a predetermined index relating to a web page corresponding to a three-dimensional virtual space for display;  Means for changing the scale of the three-dimensional virtual space for display according to the value of the acquired index;  Is realized by the computer.</t>
  </si>
  <si>
    <t>5. In a display method in which a server device provided by a computer displays a two-dimensional web page and a three-dimensional virtual space on a client terminal via a communication network,  Providing a web page to the terminal;  Providing the terminal with a display of a three-dimensional virtual space corresponding to a web page;  A process of switching display between the web page and the three-dimensional virtual space in accordance with an operation from the terminal;  Processing for obtaining a predetermined index relating to a web page corresponding to a three-dimensional virtual space related to display;  A process of changing the scale of the three-dimensional virtual space related to the display according to the acquired index value;  The display method characterized in that the computer executes.</t>
  </si>
  <si>
    <t>2029-05-15</t>
  </si>
  <si>
    <t>PROBLEM TO BE SOLVED: To allow effective cooperation between a metaverse and a two-dimensional page by dynamically changing the size of the metaverse based on an index regarding the two-dimensional page.    SOLUTION: In a server device 1 a computer provides a two-dimensional web page and a three-dimensional virtual space display to a client terminal T via a communication network N. A web page providing means 10 provides the web page to the terminal T. A three-dimensional space providing means 50 provides the three dimensional virtual space display corresponding to the web page to the terminal T. A three-dimensional space transition information obtaining means 20 and a web page transition information obtaining means 60 switch display between the web page and the three-dimensional virtual space in response to operations from the terminal T. An index obtaining means 30 obtains a predetermined index regarding the web page corresponding to the three-dimensional virtual space related to the display. A three-dimensional space size determining means 40 changes the size of the three-dimensional space related to the displaying depending on the value of the obtained index.    COPYRIGHT: (C)2011JPO&amp;INPIT</t>
  </si>
  <si>
    <t>Server apparatus and method for changing scale of three-dimensional space with web index</t>
  </si>
  <si>
    <t>In a server device in which a computer provides a display of a two-dimensional web page and a three-dimensional virtual space to a client terminal via a communication network,  Means for providing a web page to the terminal;  Means for providing the terminal with a display of a three-dimensional virtual space corresponding to a web page;  Means for switching the display of the web page and the three-dimensional virtual space in accordance with an operation from the terminal;  Means for obtaining a predetermined index relating to a web page corresponding to a three-dimensional virtual space for display;  Means for changing the scale of the three-dimensional virtual space for display according to the value of the acquired index;  Is realized by the computer.
  The server apparatus according to claim 1, wherein the index is an index representing a popularity degree of a web page.
  The server device according to claim 1, wherein the index is a depth of a hierarchy in a website configured in a hierarchy for the web page.
  The server apparatus according to claim 2, wherein the acquisition of the index and the change in scale are repeated at predetermined time intervals.
In a display method in which a server device provided by a computer displays a two-dimensional web page and a three-dimensional virtual space on a client terminal via a communication network,  Providing a web page to the terminal;  Providing the terminal with a display of a three-dimensional virtual space corresponding to a web page;  A process of switching display between the web page and the three-dimensional virtual space in accordance with an operation from the terminal;  Processing for obtaining a predetermined index related to a web page corresponding to the three-dimensional virtual space related to the display;  A process of changing the scale of the three-dimensional virtual space related to the display according to the acquired index value;  The display method characterized in that the computer executes.</t>
  </si>
  <si>
    <t>20 years from 2009-05-15 (file date)</t>
  </si>
  <si>
    <t>https://patentscout.innography.com/share/32j7p9obtFs6pFCzpjSlWg%3D%3D</t>
  </si>
  <si>
    <t>https://patentscout.innography.com/share/32j7p9obtFs6pFCzpjSlWg%3D%3D/download</t>
  </si>
  <si>
    <t>https://v3.espacenet.com/publicationDetails/biblio?CC=JP&amp;NR=4937298B2&amp;KC=B2&amp;FT=D&amp;date=20120523&amp;DB=EPODOC&amp;locale=</t>
  </si>
  <si>
    <t>5. In a display method in which a server device provided by a computer displays a two-dimensional web page and a three-dimensional virtual space on a client terminal via a communication network,  Providing a web page to the terminal;  Providing the terminal with a display of a three-dimensional virtual space corresponding to a web page;  A process of switching display between the web page and the three-dimensional virtual space in accordance with an operation from the terminal;  Processing for obtaining a predetermined index related to a web page corresponding to the three-dimensional virtual space related to the display;  A process of changing the scale of the three-dimensional virtual space related to the display according to the acquired index value;  The display method characterized in that the computer executes.</t>
  </si>
  <si>
    <t>2020-03-27</t>
  </si>
  <si>
    <t>2018-09-20</t>
  </si>
  <si>
    <t>2018-12-17</t>
  </si>
  <si>
    <t>2020-03-25</t>
  </si>
  <si>
    <t>An interactive response method comprises receiving an input data from a user; generating output data according to the input data; extracting a plurality of attributes from the output data; determining a plurality of interactions corresponding to the plurality of attributes of the output data; and presenting the plurality of interactions through a non-player character; wherein the input data and the output data are related to a word.</t>
  </si>
  <si>
    <t>Interactive response method and related computer system</t>
  </si>
  <si>
    <t>interactive response|computer system|input data|non-player character|non-player|reality environment|reality</t>
  </si>
  <si>
    <t>Xrspace Co., Ltd.</t>
  </si>
  <si>
    <t>XRSPACE CO., LTD.</t>
  </si>
  <si>
    <t>CN201811544329A</t>
  </si>
  <si>
    <t xml:space="preserve">An interactive response method, comprising:receiving input data from a user;generating output data according to the input data;extracting a plurality of attributes from the output data;determining a plurality of interactions corresponding to the plurality of attributes of the output data; andpresenting the plurality of interactions through a non-player character;wherein the input data and the output data are related to a word.
</t>
  </si>
  <si>
    <t>1. An interactive response method, comprising:receiving input data from a user;generating output data according to the input data;extracting a plurality of attributes from the output data;determining a plurality of interactions corresponding to the plurality of attributes of the output data; andpresenting the plurality of interactions through a non-player character;wherein the input data and the output data are related to a word.
2. The interactive response method of claim 1, wherein the plurality of attributes are at least one of an emotion, an intention, a semantic character, and a keyword of the output data.
3. The interactive response method of claim 1, wherein the non-player character is an avatar in a metaverse environment, an augmented reality environment, a mixed reality environment or an extended reality environment.
4. The interactive response method of claim 3, wherein the plurality of interactions are at least one of a behavior, a facial expression, an eye catch, a word, a conversation, a gesture, an emotion, or an action presented through the avatar.
5. The interactive response method of claim 1, wherein the plurality of interactions are determined via a machine learning process or a rule-based process.
6. The interactive response method of claim 5, wherein a plurality of movies having a plurality of body languages and a plurality of texts are collected for the machine learning process.
7. A computer system, comprising:a processing device; anda memory device, coupled to the processing device, for storing a program code, wherein the program code instructs the processing device to perform an interactive response method, the interactive response method comprising:receiving input data from a user;generating output data according to the input data;extracting a plurality of attributes from the output data;determining a plurality of interactions corresponding to the plurality of attributes of the output data; andpresenting the plurality of interactions through a non-player character;wherein the input data and the output data are related to a word.
8. The computer system of claim 7, wherein the plurality of attributes are at least one of an emotion, an intention, a semantic role, and a keyword of the output data.
9. The computer system of claim 7, wherein the non-player character is an avatar in a metaverse environment, an augmented reality environment, a mixed reality environment, or an extended reality environment.
10. The computer system of claim 9, wherein the plurality of interactions are at least one of a behavior, a facial expression, an eye catch, a word, a conversation, a gesture, an emotion, or an action presented through the avatar.
11. The computer system of claim 7, wherein the plurality of interactions are determined via a machine learning process or a rule-based process.
12. The computer system of claim 11, wherein a plurality of movies having a plurality of body languages and a plurality of texts are gathered for the machine learning process.</t>
  </si>
  <si>
    <t>Chou, Peter|Chu, Feng-seng|Lee, Cheng-wei</t>
  </si>
  <si>
    <t>G06F0003048150</t>
  </si>
  <si>
    <t>G06F0003048150 | H04L0051020000 | G06N0003008000 | G06N0003006000 | G06N0005046000 | H04L0051046000 | H04L0051180000</t>
  </si>
  <si>
    <t>G06F01633200</t>
  </si>
  <si>
    <t>G06F01633200 | G06N00300000</t>
  </si>
  <si>
    <t>US20200099634A1|EP3627304A1|JP2020047240A|CN110929003A|TW202013145A</t>
  </si>
  <si>
    <t>US20200099634 A1 | EP3627304 A1 | JP2020047240 A | CN110929003 A | TW202013145 A</t>
  </si>
  <si>
    <t>I-000191964853</t>
  </si>
  <si>
    <t>https://patentscout.innography.com/share/8qXw6nUAxRll5v63u_-4yA%3D%3D</t>
  </si>
  <si>
    <t>2020-03-27-PUBLICATION|2020-04-21-ENTRY INTO FORCE OF REQUEST FOR SUBSTANTIVE EXAMINATION|2021-09-10-INVENTION PATENT APPLICATION WITHDRAWN AFTER PUBLICATION</t>
  </si>
  <si>
    <t>https://patentscout.innography.com/share/8qXw6nUAxRll5v63u_-4yA%3D%3D/download</t>
  </si>
  <si>
    <t>https://v3.espacenet.com/publicationDetails/biblio?CC=CN&amp;NR=110929003A&amp;KC=A&amp;FT=D&amp;date=20200327&amp;DB=EPODOC&amp;locale=</t>
  </si>
  <si>
    <t>CN110929003 A</t>
  </si>
  <si>
    <t>US20200099634 A1</t>
  </si>
  <si>
    <t>江耀纯 | Jiang Yaochun</t>
  </si>
  <si>
    <t>1. An interactive response method, comprising:receiving input data from a user;generating output data according to the input data;extracting a plurality of attributes from the output data;determining a plurality of interactions corresponding to the plurality of attributes of the output data; andpresenting the plurality of interactions through a non-player character;wherein the input data and the output data are related to a word.</t>
  </si>
  <si>
    <t>7. A computer system, comprising:a processing device; anda memory device, coupled to the processing device, for storing a program code, wherein the program code instructs the processing device to perform an interactive response method, the interactive response method comprising:receiving input data from a user;generating output data according to the input data;extracting a plurality of attributes from the output data;determining a plurality of interactions corresponding to the plurality of attributes of the output data; andpresenting the plurality of interactions through a non-player character;wherein the input data and the output data are related to a word.</t>
  </si>
  <si>
    <t>2018-08-14</t>
  </si>
  <si>
    <t>2020-07-31</t>
  </si>
  <si>
    <t>2017-02-08</t>
  </si>
  <si>
    <t>2018-02-08</t>
  </si>
  <si>
    <t>2038-02-07</t>
  </si>
  <si>
    <t>2018-08-09</t>
  </si>
  <si>
    <t>The invention discloses a communication system and a synchronization method. A synchronization method for use between a first electronic device and a second electronic device includes the following steps. A first interrupt signal is generated to trigger a first timer on the first electronic device. The first electronic device transmits the radio frequency packet to the second electronic device. In response to the second electronic device receiving the RF packet a second interrupt signal is generated to trigger a second timer on the second electronic device. The second timer is synchronized with the first timer according to the second interrupt signal and the radio frequency packet or the second electronic device estimates the time stamp of the first timer according to the second interrupt signal and the radio frequency packet. Thereby the data transmission between the first electronic device and the second electronic device can refer to the synchronous time reference.</t>
  </si>
  <si>
    <t>Communication system and synchronization method</t>
  </si>
  <si>
    <t>communication system|interrupt signal|frequency packet|timestamp|RF transceiver|RF packet</t>
  </si>
  <si>
    <t>CN201810127464A</t>
  </si>
  <si>
    <t xml:space="preserve">A communication system, comprising:a first electronic device, comprising: a first control circuit; a first RF transceiver coupled to the first control circuit for generating a first interrupt signal to the first control circuit and transmitting an RF packet; and a first ultrasonic transceiver for transmitting an ultrasonic packet during an ultrasonic activation period; anda second electronic device, comprising: a second control circuit; a second RF transceiver coupled to the second control circuit, the second RF transceiver being configured to receive the RF packet and generate a second interrupt signal to the second control circuit in response to receiving the RF packet; and a second ultrasonic transceiver for receiving the ultrasonic packet from the first electronic device;wherein the first RF transceiver transmits the RF packet and generates the first interrupt signal at the same time, the first interrupt signal is used to trigger a first timer of the first control circuit, when the second RF transceiver completes the reception of the RF packet, the second RF transceiver immediately generates the second interrupt signal, the second interrupt signal is used to trigger a second timer of the second control circuit,wherein, the second electronic device identifies a length of the RF packet transmitted by the first electronic device, the second electronic device estimates a transmission time interval according to the length of the RF packet, the transmission time interval is calculated from the first RF transceiver starting to transmit the RF packet until the second RF transceiver finishes receiving the RF packet,wherein the second timer is synchronized with the first timer according to the second interrupt signal and the length of the radio frequency packet, or the second electronic device estimates a timestamp of the first timer according to the second interrupt signal and the length of the radio frequency packet, the ultrasonic packet is generated by the first ultrasonic transceiver according to the first timer, the second ultrasonic transceiver samples the ultrasonic packet according to the second timer,wherein a first transmission delay between the first RF transceiver and the second RF transceiver is shorter than a second transmission delay between the first ultrasonic transceiver and the second ultrasonic transceiver.
</t>
  </si>
  <si>
    <t>1. A communication system, comprising:a first electronic device, comprising: a first control circuit; a first RF transceiver coupled to the first control circuit for generating a first interrupt signal to the first control circuit and transmitting an RF packet; and a first ultrasonic transceiver for transmitting an ultrasonic packet during an ultrasonic activation period; anda second electronic device, comprising: a second control circuit; a second RF transceiver coupled to the second control circuit, the second RF transceiver being configured to receive the RF packet and generate a second interrupt signal to the second control circuit in response to receiving the RF packet; and a second ultrasonic transceiver for receiving the ultrasonic packet from the first electronic device;wherein the first RF transceiver transmits the RF packet and generates the first interrupt signal at the same time, the first interrupt signal is used to trigger a first timer of the first control circuit, when the second RF transceiver completes the reception of the RF packet, the second RF transceiver immediately generates the second interrupt signal, the second interrupt signal is used to trigger a second timer of the second control circuit,wherein, the second electronic device identifies a length of the RF packet transmitted by the first electronic device, the second electronic device estimates a transmission time interval according to the length of the RF packet, the transmission time interval is calculated from the first RF transceiver starting to transmit the RF packet until the second RF transceiver finishes receiving the RF packet,wherein the second timer is synchronized with the first timer according to the second interrupt signal and the length of the radio frequency packet, or the second electronic device estimates a timestamp of the first timer according to the second interrupt signal and the length of the radio frequency packet, the ultrasonic packet is generated by the first ultrasonic transceiver according to the first timer, the second ultrasonic transceiver samples the ultrasonic packet according to the second timer,wherein a first transmission delay between the first RF transceiver and the second RF transceiver is shorter than a second transmission delay between the first ultrasonic transceiver and the second ultrasonic transceiver.
2. The system of claim 1 wherein the second interrupt signal starts the second timer and synchronizes the second timer to a time count determined by the transmit time interval and an arrival time of the second interrupt signal at the second control circuit.
3. The system of claim 1 wherein the second RF transceiver is configured to send an acknowledgement packet to the first RF transceiver after receiving the RF packet.
4. The system of claim 3, wherein the confirmation packet carries an adjustment command sent from the second electronic device to the first electronic device, and the first electronic device adjusts the ultrasonic activation period according to the adjustment command.
5. The communication system of claim 1, wherein the first electronic device is a controller or a head mounted display of a metaverse system, and the second electronic device is the controller or the head mounted display of the metaverse system.
6. A synchronization method applied between a first electronic device and a second electronic device, the synchronization method comprising:generating a first interrupt signal to trigger a first timer on the first electronic device;transmitting a radio frequency packet from the first electronic device to the second electronic device;a first radio frequency transceiver generates the first interrupt signal and simultaneously the first electronic device transmits the radio frequency packet;when the second electronic device finishes receiving the radio frequency packet, a second interrupt signal is immediately generated to trigger a second timer on the second electronic device;the second electronic device identifies a length of the radio frequency packet transmitted by the first electronic device;the second electronic device estimates a transmission time interval according to the length of the radio frequency packet, wherein the transmission time interval is calculated by starting to transmit the radio frequency packet by the first radio frequency transceiver until a second radio frequency transceiver finishes receiving the radio frequency packet, wherein the second timer is synchronous with the first timer according to the second interrupt signal and the length of the radio frequency packet, or the second electronic device estimates a time stamp of the first timer according to the second interrupt signal and the length of the radio frequency packet; andtransmitting an ultrasonic packet from the first electronic device to the second electronic device during an ultrasonic activation period, wherein the ultrasonic packet is generated by the first electronic device according to the first timer, the second electronic device samples the ultrasonic packet according to the second timer,wherein a first transmission delay between the first RF transceiver and the second RF transceiver is shorter than a second transmission delay between the first electronic device and the first electronic device.
7. The method of claim 6, wherein the second interrupt signal starts the second timer and synchronizes the second timer to a time count determined by the transmission time interval and an arrival time of the second interrupt signal at a second control circuit.
8. The synchronization method of claim 6, further comprising:after receiving the RF packet, the second electronic device transmits an acknowledgement packet to the first RF transceiver.
9. The synchronization method of claim 8, wherein the acknowledgement packet carries an adjustment command sent from the second electronic device to the first electronic device, the synchronization method further comprising:the first electronic device adjusts the ultrasonic activation time period according to the adjustment command.</t>
  </si>
  <si>
    <t>Lin, Cheng-kang</t>
  </si>
  <si>
    <t>CN108400828 A</t>
  </si>
  <si>
    <t>H04W0056006500</t>
  </si>
  <si>
    <t>H04W0056006500 | H04J0003063800 | G01S0007520870 | H04L0005005500 | H04B0001400000 | H04B0011000000</t>
  </si>
  <si>
    <t>H04J00306000</t>
  </si>
  <si>
    <t>US20180227869A1|CN108400828A|TW201830912A|TWI657689B|US10602471B2|US20200187142A1|CN108400828B|CN111756468A|US10952175B2</t>
  </si>
  <si>
    <t>US20180227869 A1 | CN108400828 A | TW201830912 A | TWI657689 B | US10602471 B2 | US20200187142 A1 | CN108400828 B | CN111756468 A | US10952175 B2</t>
  </si>
  <si>
    <t>I-000187242869</t>
  </si>
  <si>
    <t>20 years from 2018-02-07 (the day prior to the file date of CN202010646020A)</t>
  </si>
  <si>
    <t>https://patentscout.innography.com/share/ZSYnZHsgtyEaZXJX3RSqDw%3D%3D</t>
  </si>
  <si>
    <t>2018-08-14-PUBLICATION|2018-09-07-ENTRY INTO FORCE OF REQUEST FOR SUBSTANTIVE EXAMINATION|2020-07-31-PATENT GRANT</t>
  </si>
  <si>
    <t>https://patentscout.innography.com/share/ZSYnZHsgtyEaZXJX3RSqDw%3D%3D/download</t>
  </si>
  <si>
    <t>https://v3.espacenet.com/publicationDetails/biblio?CC=CN&amp;NR=108400828B&amp;KC=B&amp;FT=D&amp;date=20200731&amp;DB=EPODOC&amp;locale=</t>
  </si>
  <si>
    <t>US20180227869 A1</t>
  </si>
  <si>
    <t>1. A communication system, comprising:a first electronic device, comprising: a first control circuit; a first RF transceiver coupled to the first control circuit for generating a first interrupt signal to the first control circuit and transmitting an RF packet; and a first ultrasonic transceiver for transmitting an ultrasonic packet during an ultrasonic activation period; anda second electronic device, comprising: a second control circuit; a second RF transceiver coupled to the second control circuit, the second RF transceiver being configured to receive the RF packet and generate a second interrupt signal to the second control circuit in response to receiving the RF packet; and a second ultrasonic transceiver for receiving the ultrasonic packet from the first electronic device;wherein the first RF transceiver transmits the RF packet and generates the first interrupt signal at the same time, the first interrupt signal is used to trigger a first timer of the first control circuit, when the second RF transceiver completes the reception of the RF packet, the second RF transceiver immediately generates the second interrupt signal, the second interrupt signal is used to trigger a second timer of the second control circuit,wherein, the second electronic device identifies a length of the RF packet transmitted by the first electronic device, the second electronic device estimates a transmission time interval according to the length of the RF packet, the transmission time interval is calculated from the first RF transceiver starting to transmit the RF packet until the second RF transceiver finishes receiving the RF packet,wherein the second timer is synchronized with the first timer according to the second interrupt signal and the length of the radio frequency packet, or the second electronic device estimates a timestamp of the first timer according to the second interrupt signal and the length of the radio frequency packet, the ultrasonic packet is generated by the first ultrasonic transceiver according to the first timer, the second ultrasonic transceiver samples the ultrasonic packet according to the second timer,wherein a first transmission delay between the first RF transceiver and the second RF transceiver is shorter than a second transmission delay between the first ultrasonic transceiver and the second ultrasonic transceiver.</t>
  </si>
  <si>
    <t>6. A synchronization method applied between a first electronic device and a second electronic device, the synchronization method comprising:generating a first interrupt signal to trigger a first timer on the first electronic device;transmitting a radio frequency packet from the first electronic device to the second electronic device;a first radio frequency transceiver generates the first interrupt signal and simultaneously the first electronic device transmits the radio frequency packet;when the second electronic device finishes receiving the radio frequency packet, a second interrupt signal is immediately generated to trigger a second timer on the second electronic device;the second electronic device identifies a length of the radio frequency packet transmitted by the first electronic device;the second electronic device estimates a transmission time interval according to the length of the radio frequency packet, wherein the transmission time interval is calculated by starting to transmit the radio frequency packet by the first radio frequency transceiver until a second radio frequency transceiver finishes receiving the radio frequency packet, wherein the second timer is synchronous with the first timer according to the second interrupt signal and the length of the radio frequency packet, or the second electronic device estimates a time stamp of the first timer according to the second interrupt signal and the length of the radio frequency packet; andtransmitting an ultrasonic packet from the first electronic device to the second electronic device during an ultrasonic activation period, wherein the ultrasonic packet is generated by the first electronic device according to the first timer, the second electronic device samples the ultrasonic packet according to the second timer,wherein a first transmission delay between the first RF transceiver and the second RF transceiver is shorter than a second transmission delay between the first electronic device and the first electronic device.</t>
  </si>
  <si>
    <t>CN102139160 B | CN102355319 B | CN102547969 B | CN105610953 B | US20060256820 A1</t>
  </si>
  <si>
    <t>2038-02-08</t>
  </si>
  <si>
    <t>CN202010646020A</t>
  </si>
  <si>
    <t xml:space="preserve">A communication system, comprising:a first electronic device, comprising: a first control circuit; a first timer; and a first RF transceiver coupled to the first control circuit, the first RF transceiver being used to transmit an RF packet; anda second electronic device, comprising: a second control circuit; a second timer; and a second RF transceiver coupled to the second control circuit, the second RF transceiver being configured to receive the RF packet and generate a second interrupt signal to the second control circuit in response to receiving the RF packet;wherein, the second electronic device identifies a length of the RF packet transmitted by the first electronic device, the second electronic device estimates a transmission time interval according to the length of the RF packet, the transmission time interval is calculated from the first RF transceiver starting to transmit the RF packet until the second RF transceiver finishes receiving the RF packet,the second timer is synchronized with the first timer according to the second interrupt signal and the length of the radio frequency packet, or the second electronic device estimates a time stamp of the first timer according to the second interrupt signal and the length of the radio frequency packet.
</t>
  </si>
  <si>
    <t>1. A communication system, comprising:a first electronic device, comprising: a first control circuit; a first timer; and a first RF transceiver coupled to the first control circuit, the first RF transceiver being used to transmit an RF packet; anda second electronic device, comprising: a second control circuit; a second timer; and a second RF transceiver coupled to the second control circuit, the second RF transceiver being configured to receive the RF packet and generate a second interrupt signal to the second control circuit in response to receiving the RF packet;wherein, the second electronic device identifies a length of the RF packet transmitted by the first electronic device, the second electronic device estimates a transmission time interval according to the length of the RF packet, the transmission time interval is calculated from the first RF transceiver starting to transmit the RF packet until the second RF transceiver finishes receiving the RF packet,the second timer is synchronized with the first timer according to the second interrupt signal and the length of the radio frequency packet, or the second electronic device estimates a time stamp of the first timer according to the second interrupt signal and the length of the radio frequency packet.
2. The system of claim 1 wherein the second interrupt signal starts the second timer and synchronizes the second timer to a time count determined by the transmit time interval and an arrival time of the second interrupt signal at the second control circuit.
3. The system of claim 1, wherein the first electronic device further comprises a first ultrasonic transceiver for transmitting an ultrasonic packet during an ultrasonic activation period.
4. The system of claim 3, wherein the first RF transceiver transmits the RF packet and generates a first interrupt signal to trigger the first timer, and the ultrasonic packet is generated by the first ultrasonic transceiver according to the first timer.
5. The system of claim 3, wherein the second electronic device further comprises a second ultrasonic transceiver for receiving the ultrasonic packet from the first electronic device.
6. The system of claim 5, wherein the second RF transceiver immediately generates the second interrupt signal when the second RF transceiver completes receiving the RF packet, the second interrupt signal triggering a second timer of the second control circuit, the second ultrasonic transceiver sampling the ultrasonic packet according to the second timer.
7. The system of claim 5, wherein a first transmission delay between the first RF transceiver and the second RF transceiver is shorter than a second transmission delay between the first ultrasonic transceiver and the second ultrasonic transceiver.
8. The system of claim 1 wherein the second RF transceiver is configured to send an acknowledgement packet to the first RF transceiver after receiving the RF packet.
9. The system of claim 8, wherein the acknowledgement packet carries an adjustment command sent from the second electronic device to the first electronic device, the first electronic device adjusting an ultrasonic activation period according to the adjustment command.
10. The communication system of claim 1, wherein the first electronic device is a controller or a head mounted display of a metaverse system, and the second electronic device is the controller or the head mounted display of the metaverse system.
11. A synchronization method applied between a first electronic device and a second electronic device, the synchronization method comprising:transmitting a radio frequency packet from the first electronic device to the second electronic device;generating a second interrupt signal immediately when the second electronic device completes the reception of the radio frequency packet;the second electronic device identifies a length of the radio frequency packet transmitted by the first electronic device; andthe second electronic device estimates a transmission time interval according to the length of the RF packet, wherein the transmission time interval is calculated by the first RF transceiver starting to transmit the RF packet until a second RF transceiver finishes receiving the RF packet, wherein a second timer of the second electronic device is synchronous with a first timer of the first electronic device according to the second interrupt signal and the length of the RF packet, or the second electronic device estimates a time stamp of the first timer according to the second interrupt signal and the length of the RF packet.
12. The synchronization method of claim 11, further comprising:the first electronic device generates a first interrupt signal to trigger the first timer on the first electronic device while transmitting the radio frequency packet; andtriggering the second timer on the second electronic device with the second interrupt signal.
13. The synchronization method of claim 11, further comprising:transmitting an ultrasonic packet to the second electronic device by the first electronic device during an ultrasonic activation period, wherein the ultrasonic packet is generated by the first electronic device according to the first timer, and the second electronic device samples the ultrasonic packet according to the second timer, wherein a first transmission delay between the first RF transceiver and the second RF transceiver is shorter than a second transmission delay between the first electronic device and the first electronic device.
14. The method of claim 11, wherein the second interrupt signal starts the second timer and synchronizes the second timer to a time count determined by the transmission time interval and an arrival time of the second interrupt signal at a second control circuit.
15. The synchronization method of claim 11, further comprising:after receiving the RF packet, the second electronic device transmits an acknowledgement packet to the first RF transceiver.
16. The synchronization method of claim 15, wherein the acknowledgement packet carries an adjustment command sent from the second electronic device to the first electronic device, the synchronization method further comprising:the first electronic device adjusts an ultrasonic activation time period according to the adjustment command.</t>
  </si>
  <si>
    <t>H04J00306000 | H04B00140000 | H04B01100000</t>
  </si>
  <si>
    <t>I-000202462196</t>
  </si>
  <si>
    <t>20 years from 2018-02-08 (file date)</t>
  </si>
  <si>
    <t>https://patentscout.innography.com/share/ajAY22GZ3hdoHpB2v3hDjA%3D%3D</t>
  </si>
  <si>
    <t>https://patentscout.innography.com/share/ajAY22GZ3hdoHpB2v3hDjA%3D%3D/download</t>
  </si>
  <si>
    <t>https://v3.espacenet.com/publicationDetails/biblio?CC=CN&amp;NR=111756468A&amp;KC=A&amp;FT=D&amp;date=20201009&amp;DB=EPODOC&amp;locale=</t>
  </si>
  <si>
    <t>CN111756468 A</t>
  </si>
  <si>
    <t>1. A communication system, comprising:a first electronic device, comprising: a first control circuit; a first timer; and a first RF transceiver coupled to the first control circuit, the first RF transceiver being used to transmit an RF packet; anda second electronic device, comprising: a second control circuit; a second timer; and a second RF transceiver coupled to the second control circuit, the second RF transceiver being configured to receive the RF packet and generate a second interrupt signal to the second control circuit in response to receiving the RF packet;wherein, the second electronic device identifies a length of the RF packet transmitted by the first electronic device, the second electronic device estimates a transmission time interval according to the length of the RF packet, the transmission time interval is calculated from the first RF transceiver starting to transmit the RF packet until the second RF transceiver finishes receiving the RF packet,the second timer is synchronized with the first timer according to the second interrupt signal and the length of the radio frequency packet, or the second electronic device estimates a time stamp of the first timer according to the second interrupt signal and the length of the radio frequency packet.</t>
  </si>
  <si>
    <t>11. A synchronization method applied between a first electronic device and a second electronic device, the synchronization method comprising:transmitting a radio frequency packet from the first electronic device to the second electronic device;generating a second interrupt signal immediately when the second electronic device completes the reception of the radio frequency packet;the second electronic device identifies a length of the radio frequency packet transmitted by the first electronic device; andthe second electronic device estimates a transmission time interval according to the length of the RF packet, wherein the transmission time interval is calculated by the first RF transceiver starting to transmit the RF packet until a second RF transceiver finishes receiving the RF packet, wherein a second timer of the second electronic device is synchronous with a first timer of the first electronic device according to the second interrupt signal and the length of the RF packet, or the second electronic device estimates a time stamp of the first timer according to the second interrupt signal and the length of the RF packet.</t>
  </si>
  <si>
    <t>A method for sequential authentication based on chain of authentication using public key infrastructure (PKI) is provided. The method includes receiving by an nth party an (n1)th modified public key from an (n1)th party; generating by the nth party an nth private key and an nth public key corresponding to each other; generating by the nth party an nth modified public key by concatenating the (n1)th modified public key and the nth public key signed with the nth private key; and transmitting by the nth party the nth modified public key where n is a natural number greater than 1 and when n=2 the first modified public key is the first public key signed with the first private key.</t>
  </si>
  <si>
    <t>US17/472058</t>
  </si>
  <si>
    <t xml:space="preserve">A method comprising:
generating, by a first party, a first private key and a first public key corresponding to each other;
generating, by the second party, a second private key and a second public key corresponding to each other;
transmitting, from the first party to a second party, the first public key signed with the first private key;
verifying, by the second party, the received first public key signed with the first private key;
in response to successfully verifying the received first public key signed with the first private key based on the first public key, generating, by the second party, a first modified public key by concatenating the first public key signed with the first private key and the second public key signed with the second private key.
</t>
  </si>
  <si>
    <t>1. A method comprising:
generating, by a first party, a first private key and a first public key corresponding to each other;
generating, by the second party, a second private key and a second public key corresponding to each other;
transmitting, from the first party to a second party, the first public key signed with the first private key;
verifying, by the second party, the received first public key signed with the first private key;
in response to successfully verifying the received first public key signed with the first private key based on the first public key, generating, by the second party, a first modified public key by concatenating the first public key signed with the first private key and the second public key signed with the second private key.
2. The method of claim 1, further comprising:
generating, by the third party, a third private key and a third public key corresponding to each other;
transmitting, from the second party to a third party, the first modified public key;
verifying, by the third party, the first modified public key;
in response to successfully verifying the first modified public key, generating, by the third party, a second modified public key by concatenating the first modified public key and the third public key signed with the third private key;
transmitting, from the third party to the first party, the second modified public key; and
verifying, by the first party, the second modified public key.
3. The method of claim 2, wherein the first private key and the first public key are generated by the first party based on a protocol defined in a first public key certificate in which a first code is inserted,
wherein the second private key and the second public key are generated by the second party based on a protocol defined in a second public key certificate in which a second code is inserted, and
wherein the third private key and the third public key are generated by the third party based on a protocol defined in a third public key certificate in which a third code is inserted.
4. The method of claim 3, wherein each of the first code, the second code, and the third code includes information associated with biometric data, information associated with unique identity information, information associated with an Internet of Things device, information associated with a QR code, information associated with an identity information, information associated with electronic money, information associated with a cryptographic hash function address, information associated with a crypto currency, information associated with digital cash, information associated with central bank digital currency (CBDC), information associated with blockchain, information associated with a decentralized identifier (DID), or any combination thereof.
5. The method of claim 2, wherein the first party orders an item from the second party, and the third party delivers the item from the second party to the first party.
6. The method of claim 5, wherein the first private key and the first public key are generated based on a protocol defined in a first public key certificate in which a first code that corresponds to or is associated with biometric data or a combination of pieces of biometric data of a registered person and an Internet of Things (IoT) code corresponds to or is associated with a registered Internet of Things (IoT) device are inserted,
wherein the second private key and the second public key are generated based on a protocol defined in a second public key certificate in which a second code that corresponds to or is associated with unique identity information or a combination of pieces of unique identity information of the second party is inserted, and
wherein the third private key and the third public key are generated based on a protocol defined in a third public key certificate in which a third code that corresponds to or is associated with unique identity information of the third party is inserted.
7. The method of claim 6, wherein the registered IoT device authenticates the third party in response to verifying the second public key based on the third public key.
8. The method of claim 6, wherein, in response to successfully verifying the third party, the registered IoT device performs a predetermined action to receive the item, and
wherein the predetermined action includes opening a door, opening a trunk of a car, opening a container of a delivery robot or a self-driving shuttle, opening a locked delivery box, allowing use of a charging station, approving landing of a delivery drone, or any combination thereof.
9. The method of claim 8, wherein the third party performs removal of wrapping material, assembly of product, collection of old product, collection of wrapping material, presentation of instruction on product assembly and/or use, or any combination thereof, which is performed by an avatar or a hologram.
10. A method comprising:
receiving, by an nth party, an (n−1)th modified public key from an (n−1)th party;
generating, by the nth party, an nth private key and an nth public key corresponding to each other;
generating, by the nth party, an nth modified public key by concatenating the (n−1)th modified public key and the nth public key signed with the nth private key; and
transmitting, by the nth party, the nth modified public key,
wherein n is a natural number greater than 1, and
wherein when n=2, the first modified public key is the first public key signed with the first private key.
11. The method of claim 10, further comprising:
verifying, by the nth party, the (n−1)th modified public key.
12. A method for delivery of an ordered item, comprising:
transmitting, from a deliverer to a vendor of an item, authentication information of the deliverer;
verifying, by the vendor, the authentication information received from the deliverer; and
in response to successfully verifying the authentication information of the deliverer, transmitting, by the vendor, first information signed with a private key of an orderer and second information signed with a private key of the vendor to the deliverer, and placing the item in a delivery compartment of the deliverer,
wherein the authentication information includes information configured for authentication based on a public key infrastructure (PKI) certificate.
13. The method of claim 12, wherein the information configured for authentication based on the PKI certificate includes a code contained in the PKI certificate, the code including information associated with unique identity data of the deliverer.
14. The method of claim 12, wherein the deliverer terminates the delivery of the item in response to receiving an emergency termination signal transmitted from any of the vendor, an orderer, a service providing server, or a monitoring robotic platform.
15. The method of claim 12, wherein the deliverer terminates the delivery of the item in response to receiving a kill public key.
16. The method of claim 12, further comprising:
upon the deliverer reaching the orderer, transmitting the authentication information of the deliverer from the deliverer to the orderer;
verifying, by the orderer, the authentication information received from the deliverer;
in response to successfully verifying the authentication information of the deliverer, transmitting authentication information of the orderer from the orderer to the deliverer;
verifying, by the deliverer, the authentication information received from the orderer; and
in response to successfully verifying the authentication information of the orderer, opening the delivery compartment of the deliverer.
17. The method of claim 16, wherein the authentication information of the orderer includes a code contained in a PKI certificate, and
wherein the code includes information associated with biometric data of the orderer, information associated with unique identity data of an Internet of Things (IoT) device of the orderer, information associated with decentralized identity (DID) data of an IoT device of the orderer, information associated with a blockchain of the orderer, information associated with an account of the orderer, information associated with virtual property of the orderer on metaverse, or any combination thereof.
18. The method of claim 17, wherein the IoT device of the orderer is implemented as a terminal, a smart phone, a smart watch, smart glasses, a smart ring, a smart speaker, a smart TV, a virtual reality (VR) headset, an augmented reality (AR) headset, a mixed reality (MR) headset, a wand, a gauntlet, a baton, a motion suite, a motion simulator, or any combination thereof.
19. The method of claim 16, further comprising:
upon the deliverer reaching the orderer, transmitting, from the deliverer to the orderer, the first information signed with the private key of the orderer, the second information signed with the private key of the vendor, and third information signed with a private key of the deliverer;
verifying, by the orderer, the first information, the second information, and the third information;
in response to successfully verifying, transmitting, from the orderer to the deliverer, fourth information signed with the private key of the orderer;
verifying, by the deliverer, the fourth information; and
in response to successfully verifying, opening the delivery compartment of the deliverer.
20. The method of claim 16, further comprising:
collecting, by the deliverer, packaging material of the item.
21. The method of claim 16, further comprising:
providing, by the deliverer, assembly instruction or operating manual instruction of the item to the orderer,
wherein the assembly instruction or operating manual instruction of the item is provided in a virtual environment based on virtual reality (VR), augmented reality (AR), mixed reality (MR), or hologram.
22. The method of claim 16, further comprising:
delivering the item, by the deliverer, to a delivery box predetermined by the orderer,
wherein the delivery box is disposed inside a house, an office, or a hotel room, or implemented as a safety box, a car trunk, a refrigerator, or a designated landing zone for drones or UAVs.
23. The method of claim 12, wherein the deliverer is implemented as a robot, an autonomously-driving car, autonomously-driving truck, an unmanned aerial vehicle (UAV), an autopiloted helicopter, or an autonomously-driving kickboard.
24. The method of claim 12, wherein the PKI certificate is implemented as a blockchain certificate, a decentralized identification (DID) certificate, a cryptocurrency certificate, an Internet-of-things (IoT) certificate, an avatar certificate, a manufacturer certificate, a mixed reality certificate, a virtual government certificate, a central bank digital currency (CBDC) certificate, a metaverse certificate, or any combination thereof.
25. The method of claim 12, wherein activities of the deliverer are monitored in a virtual monitoring room.</t>
  </si>
  <si>
    <t>G06Q01008000 | H04L00908000 | H04L00914000 | H04L00932000</t>
  </si>
  <si>
    <t>I-000223872764</t>
  </si>
  <si>
    <t>https://patentscout.innography.com/share/BddXyuImkXAUyX93UYLbuw%3D%3D</t>
  </si>
  <si>
    <t>2021-10-22-INFORMATION ON STATUS: PATENT APPLICATION AND GRANTING PROCEDURE IN GENERAL</t>
  </si>
  <si>
    <t>https://patentscout.innography.com/share/BddXyuImkXAUyX93UYLbuw%3D%3D/download</t>
  </si>
  <si>
    <t>https://ppubs.uspto.gov/pubwebapp/external.html?q=20220114542.pn.</t>
  </si>
  <si>
    <t>1. A method comprising:
generating, by a first party, a first private key and a first public key corresponding to each other;
generating, by the second party, a second private key and a second public key corresponding to each other;
transmitting, from the first party to a second party, the first public key signed with the first private key;
verifying, by the second party, the received first public key signed with the first private key;
in response to successfully verifying the received first public key signed with the first private key based on the first public key, generating, by the second party, a first modified public key by concatenating the first public key signed with the first private key and the second public key signed with the second private key.</t>
  </si>
  <si>
    <t>10. A method comprising:
receiving, by an nth party, an (n−1)th modified public key from an (n−1)th party;
generating, by the nth party, an nth private key and an nth public key corresponding to each other;
generating, by the nth party, an nth modified public key by concatenating the (n−1)th modified public key and the nth public key signed with the nth private key; and
transmitting, by the nth party, the nth modified public key,
wherein n is a natural number greater than 1, and
wherein when n=2, the first modified public key is the first public key signed with the first private key.</t>
  </si>
  <si>
    <t>12. A method for delivery of an ordered item, comprising:
transmitting, from a deliverer to a vendor of an item, authentication information of the deliverer;
verifying, by the vendor, the authentication information received from the deliverer; and
in response to successfully verifying the authentication information of the deliverer, transmitting, by the vendor, first information signed with a private key of an orderer and second information signed with a private key of the vendor to the deliverer, and placing the item in a delivery compartment of the deliverer,
wherein the authentication information includes information configured for authentication based on a public key infrastructure (PKI) certificate.</t>
  </si>
  <si>
    <t>A method for sequential authentication based on chain of authentication using public key infrastructure (PKI) is provided. The method includes abutting a first wearable device belonging to a first party with a second wearable device belonging to a second party; transmitting by the first wearable device authentication information of the first party; verifying the authentication information of the first party; transmitting by the second wearable device authentication information of the second party; verifying the authentication information of the second party; authorizing electronic transaction in response to successfully verifying both the authentication information of the first party and the authentication information of the second party. Each of the authentication information of the first party and the authentication information of the second party includes information configured for authentication based on a public key infrastructure (PKI) certificate.</t>
  </si>
  <si>
    <t>US17/472070</t>
  </si>
  <si>
    <t xml:space="preserve">A method for operating a fleet of robotic vehicles, comprising:
receiving, by an operation management entity, authentication information from a robotic vehicle;
verifying, by the operation management entity, the authentication information received from the robotic vehicle; and
permitting, by the operation management entity, the robotic vehicle to use one or more services in response to successfully verifying the authentication information,
wherein the authentication information includes information configured for authentication based on a public key infrastructure (PKI) certificate.
</t>
  </si>
  <si>
    <t>1. A method for operating a fleet of robotic vehicles, comprising:
receiving, by an operation management entity, authentication information from a robotic vehicle;
verifying, by the operation management entity, the authentication information received from the robotic vehicle; and
permitting, by the operation management entity, the robotic vehicle to use one or more services in response to successfully verifying the authentication information,
wherein the authentication information includes information configured for authentication based on a public key infrastructure (PKI) certificate.
2. The method of claim 1, wherein the robotic vehicle is implemented as an aerial vehicle, an autonomously-driving ground vehicle, or an autonomously-driving kickboard.
3. The method of claim 1, wherein the one or more services include using a charging station.
4. The method of claim 1, wherein the one or more services include joining a formation cruising, whereby the robotic vehicle cruises with a plurality of other robotic vehicles that have been authenticated by the operation management entity.
5. The method of claim 1, wherein the information configured for authentication based on the PKI certificate includes a code contained in the PKI certificate, the code including information associated with unique identity data of the robotic vehicle, information associated with a decentralized identity (DID) data of the robotic vehicle, information associated with a blockchain data of the robotic vehicle, information associated with virtual property of the robotic vehicle on metaverse, or any combination thereof.
6. The method of claim 5, wherein the information configured for authentication based on the PKI certificate includes an offline access code contained in the PKI certificate, the offline access code being configured to be used in case that the operation management entity is disconnected from a service providing server.
7. The method of claim 6, wherein when the offline access code is used for authentication, the operation management entity provides a predetermined set of services that is less than the services that the operation management entity provides when the offline access code is not used.
8. The method of claim 7, further comprising:
storing, by the operation management entity, transaction information;
transmitting, by the operation management entity in response to the operation management entity connecting to the service providing server, the stored transaction information to the service providing server, and
settling, by the service providing server, the transaction information.
9. The method of claim 1, wherein the operation management entity is implemented as another robotic vehicle within the fleet of robotic vehicles.
10. The method of claim 3, wherein the charging station is provided in a ground vehicle, an aerial vehicle, a helipad, a cruise ship, a roof of a building, a roof of a truck, or a tunnel ventilation fan.
11. The method of claim 1, wherein the PKI certificate is implemented as a blockchain certificate, a decentralized identification (DID) certificate, a cryptocurrency certificate, an Internet-of-things (IoT) certificate, an avatar certificate, a manufacturer certificate, a mixed reality certificate, a virtual government certificate, a central bank digital currency (CBDC) certificate, a metaverse certificate, or any combination thereof.
12. The method of claim 1, wherein activities of the fleet of robotic vehicles are monitored in a virtual monitoring room.
13. A method for electronic transaction, comprising:
abutting a first wearable device belonging to a first party with a second wearable device belonging to a second party;
transmitting, by the first wearable device, authentication information of the first party;
verifying the authentication information of the first party;
transmitting, by the second wearable device, authentication information of the second party;
verifying the authentication information of the second party;
authorizing electronic transaction in response to successfully verifying both the authentication information of the first party and the authentication information of the second party,
wherein each of the authentication information of the first party and the authentication information of the second party includes information configured for authentication based on a public key infrastructure (PKI) certificate.
14. The method of claim 13, wherein the authentication information of the first party and the authentication information of the second party are transmitted to a service providing server, and
wherein the service providing server is configured to verify the authentication information of the first party and the authentication information of the second party based on a public key of the first party and a public key of the second party.
15. The method of claim 13, wherein the authentication information of the first party is transmitted to the second wearable device, and the second wearable device is configured to verify the authentication information of the first party based on a public key of the first party, and
wherein the authentication information of the second party is transmitted to the first wearable device, and the first wearable device is configured to verify the authentication information of the second party based on a public key of the second party.
16. The method of claim 13, wherein the information configured for authentication based on the PKI certificate includes a code contained in the PKI certificate, the code including information associated with biometric data of the first party or the second party, information associated with unique identity data of the first wearable device or the second wearable device, information associated with a decentralized identity (DID) data of the first wearable device or the second wearable device, information associated with a blockchain data of the first wearable device or the second wearable device, or any combination thereof.
17. The method of claim 16, wherein the information configured for authentication based on the PKI certificate includes a second code contained in the PKI certificate, the second code being configured to be used in case that the first wearable device or the second wearable device is disconnected from a service providing server.
18. The method of claim 17, wherein when the second code is used for authentication, the first wearable device or the second wearable device authorizes a predetermined set of transactions that is more restricted than when the second code is not used.
19. The method of claim 18, further comprising:
storing, by the first wearable device or the second wearable device, transaction information;
transmitting, by the first wearable device or the second wearable device in response to the first wearable device or the second wearable device connecting to the service providing server, the stored transaction information to the service providing server, and
settling, by the service providing server, the transaction information.
20. The method of claim 13, wherein each of the first wearable device and the second wearable device is implemented as a terminal, a smart phone, a smart watch, smart glasses, a smart ring, a smart speaker, a virtual reality (VR) headset, an augmented reality (AR) headset, a mixed reality (MR) headset, a wand, a gauntlet, a baton, a light sword, a motion suite, a motion simulator, or any combination thereof.
21. The method of claim 13, wherein each of the first wearable device and the second wearable device is implemented as a gauntlet that includes a plurality of switches, and
wherein different payment methods are selected depending on which switch among the plurality of switches is activated.
22. The method of claim 21, wherein the gauntlet is worn on an avatar or a hologram.
23. The method of claim 13, wherein each of the first wearable device and the second wearable device is implemented as smart glasses, a headset, a motion suite, or a motion simulator that is capable of virtual reality (VR), augmented reality (AR), mixed reality (MR), or any combination thereof, and
wherein a plurality of payment methods are presented by the first wearable device of the second wearable device to allow the first party or the second party to choose a payment method among the plurality of payment methods.
24. The method of claim 23, wherein the first wearable device or the second wearable device further includes a wand, a gauntlet, a light sword, or a baton, to allow the first party or the second party to choose the payment method among the plurality of payment methods by a predetermined gesture with the wand, the gauntlet, a light sword, or the baton.</t>
  </si>
  <si>
    <t>H04L00932000 | B60L05330000 | G05D00102000 | G05D00110000 | G06Q02022000 | G06Q02032000 | G06Q02038000 | G06Q02040000</t>
  </si>
  <si>
    <t>I-000223874441</t>
  </si>
  <si>
    <t>https://patentscout.innography.com/share/6e7sJUt4XkPbVPYGFB78Ag%3D%3D</t>
  </si>
  <si>
    <t>2021-10-28-INFORMATION ON STATUS: PATENT APPLICATION AND GRANTING PROCEDURE IN GENERAL</t>
  </si>
  <si>
    <t>https://patentscout.innography.com/share/6e7sJUt4XkPbVPYGFB78Ag%3D%3D/download</t>
  </si>
  <si>
    <t>https://ppubs.uspto.gov/pubwebapp/external.html?q=20220116227.pn.</t>
  </si>
  <si>
    <t>US20220116227 A1</t>
  </si>
  <si>
    <t>1. A method for operating a fleet of robotic vehicles, comprising:
receiving, by an operation management entity, authentication information from a robotic vehicle;
verifying, by the operation management entity, the authentication information received from the robotic vehicle; and
permitting, by the operation management entity, the robotic vehicle to use one or more services in response to successfully verifying the authentication information,
wherein the authentication information includes information configured for authentication based on a public key infrastructure (PKI) certificate.</t>
  </si>
  <si>
    <t>13. A method for electronic transaction, comprising:
abutting a first wearable device belonging to a first party with a second wearable device belonging to a second party;
transmitting, by the first wearable device, authentication information of the first party;
verifying the authentication information of the first party;
transmitting, by the second wearable device, authentication information of the second party;
verifying the authentication information of the second party;
authorizing electronic transaction in response to successfully verifying both the authentication information of the first party and the authentication information of the second party,
wherein each of the authentication information of the first party and the authentication information of the second party includes information configured for authentication based on a public key infrastructure (PKI) certificate.</t>
  </si>
  <si>
    <t>US20080133539 A1 | US20080235509 A1 | US20100223186 A1 | US20140310185 A1 | US20200156497 A1</t>
  </si>
  <si>
    <t>IB2021000616W</t>
  </si>
  <si>
    <t>1. A method for operating a fleet of robotic vehicles, comprising: receiving, by an operation management entity, authentication information from a robotic vehicle; verifying, by the operation management entity, the authentication information received from the robotic vehicle; and permitting, by the operation management entity, the robotic vehicle to use one or more services in response to successfully verifying the authentication information, wherein the authentication information includes information configured for authentication based on a public key infrastructure (PKI) certificate.</t>
  </si>
  <si>
    <t>1. A method for operating a fleet of robotic vehicles, comprising: receiving, by an operation management entity, authentication information from a robotic vehicle; verifying, by the operation management entity, the authentication information received from the robotic vehicle; and permitting, by the operation management entity, the robotic vehicle to use one or more services in response to successfully verifying the authentication information, wherein the authentication information includes information configured for authentication based on a public key infrastructure (PKI) certificate.
2. The method of claim 1, wherein the robotic vehicle is implemented as an aerial vehicle, an autonomously-driving ground vehicle, or an autonomously-driving kickboard.
3. The method of claim 1, wherein the one or more services include using a charging station.
4. The method of claim 1, wherein the one or more services include joining a formation cruising, whereby the robotic vehicle cruises with a plurality of other robotic vehicles that have been authenticated by the operation management entity.
5. The method of claim 1, wherein the information configured for authentication based on the PKI certificate includes a code contained in the PKI certificate, the code including information associated with unique identity data of the robotic vehicle, information associated with a decentralized identity (DID) data of the robotic vehicle, information associated with a blockchain data of the robotic vehicle, information associated with virtual property of the robotic vehicle on metaverse, or any combination thereof.
6. The method of claim 5, wherein the information configured for authentication based on the PKI certificate includes an offline access code contained in the PKI certificate, the offline 
52 access code being configured to be used in case that the operation management entity is disconnected from a service providing server.
7. The method of claim 6, wherein when the offline access code is used for authentication, the operation management entity provides a predetermined set of services that is less than the services that the operation management entity provides when the offline access code is not used.
8. The method of claim 7, further comprising: storing, by the operation management entity, transaction information; transmitting, by the operation management entity in response to the operation management entity connecting to the service providing server, the stored transaction information to the service providing server, and settling, by the service providing server, the transaction information.
9. The method of claim 1, wherein the operation management entity is implemented as another robotic vehicle within the fleet of robotic vehicles.
10. The method of claim 3, wherein the charging station is provided in a ground vehicle, an aerial vehicle, a helipad, a cruise ship, a roof of a building, a roof of a truck, or a tunnel ventilation fan.
11. The method of claim 1, wherein the PKI certificate is implemented as a blockchain certificate, a decentralized identification (DID) certificate, a cryptocurrency certificate, an Internet-of-things (loT) certificate, an avatar certificate, a manufacturer certificate, a mixed reality certificate, a virtual government certificate, a central bank digital currency (CBDC) certificate, a metaverse certificate, or any combination thereof.
12. The method of claim 1, wherein activities of the fleet of robotic vehicles are monitored in a virtual monitoring room. 
53 
13. A method for electronic transaction, comprising: abutting a first wearable device belonging to a first party with a second wearable device belonging to a second party; transmitting, by the first wearable device, authentication information of the first party; verifying the authentication information of the first party; transmitting, by the second wearable device, authentication information of the second party; verifying the authentication information of the second party; authorizing electronic transaction in response to successfully verifying both the authentication information of the first party and the authentication information of the second party, wherein each of the authentication information of the first party and the authentication information of the second party includes information configured for authentication based on a public key infrastructure (PKI) certificate.
14. The method of claim 13, wherein the authentication information of the first party and the authentication information of the second party are transmitted to a service providing server, and wherein the service providing server is configured to verify the authentication information of the first party and the authentication information of the second party based on a public key of the first party and a public key of the second party.
15. The method of claim 13, wherein the authentication information of the first party is transmitted to the second wearable device, and the second wearable device is configured to verify the authentication information of the first party based on a public key of the first party, and wherein the authentication information of the second party is transmitted to the first wearable device, and the first wearable device is configured to verify the authentication information of the second party based on a public key of the second party.
16. The method of claim 13, wherein the information configured for authentication based on the PKI certificate includes a code contained in the PKI certificate, the code including 
54 information associated with biometric data of the first party or the second party, information associated with unique identity data of the first wearable device or the second wearable device, information associated with a decentralized identity (DID) data of the first wearable device or the second wearable device, information associated with a blockchain data of the first wearable device or the second wearable device, or any combination thereof.
17. The method of claim 16, wherein the information configured for authentication based on the PKI certificate includes a second code contained in the PKI certificate, the second code being configured to be used in case that the first wearable device or the second wearable device is disconnected from a service providing server.
18. The method of claim 17, wherein when the second code is used for authentication, the first wearable device or the second wearable device authorizes a predetermined set of transactions that is more restricted than when the second code is not used.
19. The method of claim 18, further comprising: storing, by the first wearable device or the second wearable device, transaction information; transmitting, by the first wearable device or the second wearable device in response to the first wearable device or the second wearable device connecting to the service providing server, the stored transaction information to the service providing server, and settling, by the service providing server, the transaction information.
20. The method of claim 13, wherein each of the first wearable device and the second wearable device is implemented as a terminal, a smart phone, a smart watch, smart glasses, a smart ring, a smart speaker, a virtual reality (VR) headset, an augmented reality (AR) headset, a mixed reality (MR) headset, a wand, a gauntlet, a baton, a light sword, a motion suite, a motion simulator, or any combination thereof.
21. The method of claim 13, wherein each of the first wearable device and the second wearable device is implemented as a gauntlet that includes a plurality of switches, and 
55 wherein different payment methods are selected depending on which switch among the plurality of switches is activated.
22. The method of claim 21, wherein the gauntlet is worn on an avatar or a hologram.
23. The method of claim 13, wherein each of the first wearable device and the second wearable device is implemented as smart glasses, a headset, a motion suite, or a motion simulator that is capable of virtual reality (VR), augmented reality (AR), mixed reality (MR), or any combination thereof, and wherein a plurality of payment methods are presented by the first wearable device of the second wearable device to allow the first party or the second party to choose a payment method among the plurality of payment methods.
24. The method of claim 23, wherein the first wearable device or the second wearable device further includes a wand, a gauntlet, a light sword, or a baton, to allow the first party or the second party to choose the payment method among the plurality of payment methods by a predetermined gesture with the wand, the gauntlet, a light sword, or the baton.</t>
  </si>
  <si>
    <t>H04L00932000 | G06F00301000 | H04L00900000 | H04L00908000</t>
  </si>
  <si>
    <t>I-000224207222</t>
  </si>
  <si>
    <t>https://patentscout.innography.com/share/0ooJ53vKSBSR6w6f1DIEqw%3D%3D</t>
  </si>
  <si>
    <t>2022-06-01-EP: THE EPO HAS BEEN INFORMED BY WIPO THAT EP WAS DESIGNATED IN THIS APPLICATION</t>
  </si>
  <si>
    <t>https://patentscout.innography.com/share/0ooJ53vKSBSR6w6f1DIEqw%3D%3D/download</t>
  </si>
  <si>
    <t>https://v3.espacenet.com/publicationDetails/biblio?CC=WO&amp;NR=2022079488A1&amp;KC=A1&amp;FT=D&amp;date=20220421&amp;DB=EPODOC&amp;locale=</t>
  </si>
  <si>
    <t>WO2021153205 A1</t>
  </si>
  <si>
    <t>BACK, Doehyun</t>
  </si>
  <si>
    <t>2.  1.  A method for operating a fleet of robotic vehicles, comprising: receiving, by an operation management entity, authentication information from a robotic vehicle; verifying, by the operation management entity, the authentication information received from the robotic vehicle; and permitting, by the operation management entity, the robotic vehicle to use one or more services in response to successfully verifying the authentication information, wherein the authentication information includes information configured for authentication based on a public key infrastructure (PKI) certificate.</t>
  </si>
  <si>
    <t>14.  13.  A method for electronic transaction, comprising: abutting a first wearable device belonging to a first party with a second wearable device belonging to a second party; transmitting, by the first wearable device, authentication information of the first party; verifying the authentication information of the first party; transmitting, by the second wearable device, authentication information of the second party; verifying the authentication information of the second party; authorizing electronic transaction in response to successfully verifying both the authentication information of the first party and the authentication information of the second party, wherein each of the authentication information of the first party and the authentication information of the second party includes information configured for authentication based on a public key infrastructure (PKI) certificate.</t>
  </si>
  <si>
    <t>US10681038 B1 | US20090046853 A1 | US20120257746 A1 | US20190237176 A1 | US20200092269 A1</t>
  </si>
  <si>
    <t>A method for sequential authentication based on chain of authentication using public key infrastructure (PKI) is provided. The method includes receiving by an nth party an (n-1)th modified public key from an (n-1)th party; generating by the nth party an nth private key and an nth public key corresponding to each other; generating by the nth party an nth modified public key by concatenating the (n-1)th modified public key and the nth public key signed with the nth private key; and transmitting by the th party the nth modified public key where n is a natural number greater than 1 and when n=2 the first modified public key is the first public key signed with the first private key.</t>
  </si>
  <si>
    <t>IB2021000615W</t>
  </si>
  <si>
    <t>1. A method comprising: generating, by a first party, a first private key and a first public key corresponding to each other; generating, by the second party, a second private key and a second public key corresponding to each other; transmitting, from the first party to a second party, the first public key signed with the first private key; verifying, by the second party, the received first public key signed with the first private key; in response to successfully verifying the received first public key signed with the first private key based on the first public key, generating, by the second party, a first modified public key by concatenating the first public key signed with the first private key and the second public key signed with the second private key.</t>
  </si>
  <si>
    <t>1. A method comprising: generating, by a first party, a first private key and a first public key corresponding to each other; generating, by the second party, a second private key and a second public key corresponding to each other; transmitting, from the first party to a second party, the first public key signed with the first private key; verifying, by the second party, the received first public key signed with the first private key; in response to successfully verifying the received first public key signed with the first private key based on the first public key, generating, by the second party, a first modified public key by concatenating the first public key signed with the first private key and the second public key signed with the second private key.
2. The method of claim 1, further comprising: generating, by the third party, a third private key and a third public key corresponding to each other; transmitting, from the second party to a third party, the first modified public key; verifying, by the third party, the first modified public key; in response to successfully verifying the first modified public key, generating, by the third party, a second modified public key by concatenating the first modified public key and the third public key signed with the third private key; transmitting, from the third party to the first party, the second modified public key; and verifying, by the first party, the second modified public key.
3. The method of claim 2, wherein the first private key and the first public key are generated by the first party based on a protocol defined in a first public key certificate in which a first code is inserted, wherein the second private key and the second public key are generated by the second party based on a protocol defined in a second public key certificate in which a second code is inserted, and wherein the third private key and the third public key are generated by the third party based on a protocol defined in a third public key certificate in which a third code is inserted.
4. The method of claim 3, wherein each of the first code, the second code, and the third code includes information associated with biometric data, information associated with unique identity information, information associated with an Internet of Things device, information associated with a QR code, information associated with an identity information, information associated with electronic money, information associated with a cryptographic hash function address, information associated with a crypto currency, information associated with digital cash, information associated with central bank digital currency (CBDC), information associated with blockchain, information associated with a decentralized identifier (DID), or any combination thereof.
5. The method of claim 2, wherein the first party orders an item from the second party, and the third party delivers the item from the second party to the first party.
6. The method of claim 5, wherein the first private key and the first public key are generated based on a protocol defined in a first public key certificate in which a first code that corresponds to or is associated with biometric data or a combination of pieces of biometric data of a registered person and an Internet of Things (loT) code corresponds to or is associated with a registered Internet of Things (loT) device are inserted, wherein the second private key and the second public key are generated based on a protocol defined in a second public key certificate in which a second code that corresponds to or is associated with unique identity information or a combination of pieces of unique identity information of the second party is inserted, and wherein the third private key and the third public key are generated based on a protocol defined in a third public key certificate in which a third code that corresponds to or is associated with unique identity information of the third party is inserted. 
7. The method of claim 6, wherein the registered loT device authenticates the third party in response to verifying the second public key based on the third public key.
8. The method of claim 6, wherein, in response to successfully verifying the third party, the registered loT device performs a predetermined action to receive the item, and wherein the predetermined action includes opening a door, opening a trunk of a car, opening a container of a delivery robot or a self-driving shuttle, opening a locked delivery box, allowing use of a charging station, approving landing of a delivery drone, or any combination thereof.
9. The method of claim 8, wherein the third party performs removal of wrapping material, assembly of product, collection of old product, collection of wrapping material, presentation of instruction on product assembly and/or use, or any combination thereof, which is performed by an avatar or a hologram.
10. A method comprising: receiving, by an nth party, an (n-1)th modified public key from an (n-1)th party; generating, by the nth party, an nth private key and an nth public key corresponding to each other; generating, by the nth party, an nth modified public key by concatenating the (n-1)th modified public key and the nth public key signed with the nth private key; and transmitting, by the nth party, the nth modified public key, wherein n is a natural number greater than 1, and wherein when n=2, the first modified public key is the first public key signed with the first private key.
11. The method of claim 10, further comprising: verifying, by the nth party, the (n-1)th modified public key. 
12. A method for delivery of an ordered item, comprising: transmitting, from a deliverer to a vendor of an item, authentication information of the deliverer; verifying, by the vendor, the authentication information received from the deliverer; and in response to successfully verifying the authentication information of the deliverer, transmitting, by the vendor, first information signed with a private key of an orderer and second information signed with a private key of the vendor to the deliverer, and placing the item in a delivery compartment of the deliverer, wherein the authentication information includes information configured for authentication based on a public key infrastructure (PKI) certificate.
13. The method of claim 12, wherein the information configured for authentication based on the PKI certificate includes a code contained in the PKI certificate, the code including information associated with unique identity data of the deliverer.
14. The method of claim 12, wherein the deliverer terminates the delivery of the item in response to receiving an emergency termination signal transmitted from any of the vendor, an orderer, a service providing server, or a monitoring robotic platform.
15. The method of claim 12, wherein the deliverer terminates the delivery of the item in response to receiving a kill public key.
16. The method of claim 12, further comprising: upon the deliverer reaching the orderer, transmitting the authentication information of the deliverer from the deliverer to the orderer; verifying, by the orderer, the authentication information received from the deliverer; in response to successfully verifying the authentication information of the deliverer, transmitting authentication information of the orderer from the orderer to the deliverer; verifying, by the deliverer, the authentication information received from the orderer; and in response to successfully verifying the authentication information of the orderer, opening the delivery compartment of the deliverer. 
17. The method of claim 16, wherein the authentication information of the orderer includes a code contained in a PKI certificate, and wherein the code includes information associated with biometric data of the orderer, information associated with unique identity data of an Internet of Things (loT) device of the orderer, information associated with decentralized identity (DID) data of an loT device of the orderer, information associated with a blockchain of the orderer, information associated with an account of the orderer, information associated with virtual property of the orderer on metaverse, or any combination thereof.
18. The method of claim 17, wherein the loT device of the orderer is implemented as a terminal, a smart phone, a smart watch, smart glasses, a smart ring, a smart speaker, a smart TV, a virtual reality (VR) headset, an augmented reality (AR) headset, a mixed reality (MR) headset, a wand, a gauntlet, a baton, a motion suite, a motion simulator, or any combination thereof.
19. The method of claim 16, further comprising: upon the deliverer reaching the orderer, transmitting, from the deliverer to the orderer, the first information signed with the private key of the orderer, the second information signed with the private key of the vendor, and third information signed with a private key of the deliverer; verifying, by the orderer, the first information, the second information, and the third information; in response to successfully verifying, transmitting, from the orderer to the deliverer, fourth information signed with the private key of the orderer; verifying, by the deliverer, the fourth information; and in response to successfully verifying, opening the delivery compartment of the deliverer.
20. The method of claim 16, further comprising: collecting, by the deliverer, packaging material of the item. 
21. The method of claim 16, further comprising: providing, by the deliverer, assembly instruction or operating manual instruction of the item to the orderer, wherein the assembly instruction or operating manual instruction of the item is provided in a virtual environment based on virtual reality (VR), augmented reality (AR), mixed reality (MR), or hologram.
22. The method of claim 16, further comprising: delivering the item, by the deliverer, to a delivery box predetermined by the orderer, wherein the delivery box is disposed inside a house, an office, or a hotel room, or implemented as a safety box, a car trunk, a refrigerator, or a designated landing zone for drones or UAVs.
23. The method of claim 12, wherein the deliverer is implemented as a robot, an autonomously-driving car, autonomously-driving truck, an unmanned aerial vehicle (UAV), an autopiloted helicopter, or an autonomously-driving kickboard.
24. The method of claim 12, wherein the PKI certificate is implemented as a blockchain certificate, a decentralized identification (DID) certificate, a cryptocurrency certificate, an Internet-of-things (loT) certificate, an avatar certificate, a manufacturer certificate, a mixed reality certificate, a virtual government certificate, a central bank digital currency (CBDC) certificate, a metaverse certificate, or any combination thereof.
25. The method of claim 12, wherein activities of the deliverer are monitored in a virtual monitoring room.</t>
  </si>
  <si>
    <t>H04L00932000 | H04L00900000 | H04L00908000</t>
  </si>
  <si>
    <t>I-000224215835</t>
  </si>
  <si>
    <t>https://patentscout.innography.com/share/QSDtvoz3QzdM3tflNoCTbQ%3D%3D</t>
  </si>
  <si>
    <t>https://patentscout.innography.com/share/QSDtvoz3QzdM3tflNoCTbQ%3D%3D/download</t>
  </si>
  <si>
    <t>https://v3.espacenet.com/publicationDetails/biblio?CC=WO&amp;NR=2022074449A1&amp;KC=A1&amp;FT=D&amp;date=20220414&amp;DB=EPODOC&amp;locale=</t>
  </si>
  <si>
    <t>WO2022153350 A1</t>
  </si>
  <si>
    <t>2.  1.  A method comprising: generating, by a first party, a first private key and a first public key corresponding to each other; generating, by the second party, a second private key and a second public key corresponding to each other; transmitting, from the first party to a second party, the first public key signed with the first private key; verifying, by the second party, the received first public key signed with the first private key; in response to successfully verifying the received first public key signed with the first private key based on the first public key, generating, by the second party, a first modified public key by concatenating the first public key signed with the first private key and the second public key signed with the second private key.</t>
  </si>
  <si>
    <t>11.  10.  A method comprising: receiving, by an nth party, an (n-1 )th modified public key from an (n-1 )th party; generating, by the nth party, an nth private key and an nth public key corresponding to each other; generating, by the nth party, an nth modified public key by concatenating the (n-1 )th modified public key and the nth public key signed with the nth private key; and transmitting, by the nth party, the nth modified public key, wherein n is a natural number greater than 1 , and wherein when n=2 , the first modified public key is the first public key signed with the first private key.</t>
  </si>
  <si>
    <t>13.  12.  A method for delivery of an ordered item, comprising: transmitting, from a deliverer to a vendor of an item, authentication information of the deliverer; verifying, by the vendor, the authentication information received from the deliverer; and in response to successfully verifying the authentication information of the deliverer, transmitting, by the vendor, first information signed with a private key of an orderer and second information signed with a private key of the vendor to the deliverer, and placing the item in a delivery compartment of the deliverer, wherein the authentication information includes information configured for authentication based on a public key infrastructure (PKI) certificate.</t>
  </si>
  <si>
    <t>2017-11-08</t>
  </si>
  <si>
    <t>2022-01-27</t>
  </si>
  <si>
    <t>2038-11-07</t>
  </si>
  <si>
    <t>A system and method to permit brand owners to maintain control over their valuable brands in a virtual economy. The system and method feature a mark to permit legitimate branded items to be identified. Optionally and preferably the system and method also enable non-legitimate fake or fraudulent branded items to be identified. Such branded items include but are not limited to any type of trademark including without limitation any type of word mark color logo slogan or any other suitable type of trademark; any object designed by or associated with the brand; and any item featuring any component or material that is trademarked patented or copyrighted.</t>
  </si>
  <si>
    <t>System and method for identifying virtual goods</t>
  </si>
  <si>
    <t>virtual goods|identified virtual|branded|brand|trademark|computational device|computational</t>
  </si>
  <si>
    <t>Brand Therapy LLC</t>
  </si>
  <si>
    <t>US17/585630</t>
  </si>
  <si>
    <t xml:space="preserve">A system to permit brand owners to maintain control over their valuable brands in a virtual economy for a virtual good, comprising a user computational device, said user computational device comprising a user device memory and a user device processor; and a server in communication with said user computational device, said server comprising a server memory and a server processor; wherein each of said user device processor and said server processor is configured to perform a defined set of operations in response to receiving a corresponding instruction selected from a predefined native instruction set of codes, said codes comprising a first set of machine codes selected from the native instruction set for receiving a request, from the user computational device to the server, to use a virtual good within a computer system; a second set of machine codes selected from the native instruction set for analyzing the request and for reviewing information to determine whether the virtual good may be used within the computer system by the server, wherein the virtual good is associated with a mark or a certificate, and wherein said mark or certificate is associated with a plurality of parameters, wherein said request for verification includes an identification of at least one computer system in which the virtual good may be used, and wherein said server processor executes at least one instruction to determine if said parameters indicate that a requested use is permitted according to said identification of said at least one computer system; and a third set of machine codes selected from the native instruction set to enable the virtual good to be accessed through said user computational device, if said requested use is permitted; wherein each of the first, second and third sets of machine code is stored in the user device memory or in the server memory, and is executed by the user device processor or the server processor.
</t>
  </si>
  <si>
    <t>1. A system to permit brand owners to maintain control over their valuable brands in a virtual economy for a virtual good, comprising a user computational device, said user computational device comprising a user device memory and a user device processor; and a server in communication with said user computational device, said server comprising a server memory and a server processor; wherein each of said user device processor and said server processor is configured to perform a defined set of operations in response to receiving a corresponding instruction selected from a predefined native instruction set of codes, said codes comprising a first set of machine codes selected from the native instruction set for receiving a request, from the user computational device to the server, to use a virtual good within a computer system; a second set of machine codes selected from the native instruction set for analyzing the request and for reviewing information to determine whether the virtual good may be used within the computer system by the server, wherein the virtual good is associated with a mark or a certificate, and wherein said mark or certificate is associated with a plurality of parameters, wherein said request for verification includes an identification of at least one computer system in which the virtual good may be used, and wherein said server processor executes at least one instruction to determine if said parameters indicate that a requested use is permitted according to said identification of said at least one computer system; and a third set of machine codes selected from the native instruction set to enable the virtual good to be accessed through said user computational device, if said requested use is permitted; wherein each of the first, second and third sets of machine code is stored in the user device memory or in the server memory, and is executed by the user device processor or the server processor.
2. The system of claim 1, wherein said at least one computer system comprises a plurality of computer systems selected from the group consisting of a plurality of virtual worlds, a plurality of online or offline video games, one or more metaverses or spaces within a metaverse, other digital spaces, or a combination thereof.
3. The system of claim 2, wherein said server monitors usage of the virtual good across said plurality of computer systems.
4. The system of claim 1, wherein said mark or certificate identifies a plurality of different virtual goods and is associated with said parameters for said plurality of different virtual goods.
5. The system of claim 1, wherein the virtual good has both an associated mark and an associated certificate, and wherein said associated mark is visible or is capable of being rendered as visible within said computer system.
6. The system of claim 1, further comprising a blockchain, wherein said parameters associated with said mark, said certificate or both are stored on said blockchain, and wherein permission to access the virtual good is determined according to a smart contract executed through said blockchain, according to said parameters and according to said mark, said certificate or both.
7. The system of claim 1, further comprising a mark to permit legitimate branded items to be identified, wherein said server comprises an analysis engine to identify said mark in relation to said legitimate branded items, said analysis engine being operated by said server processor according to codes stored in said server memory; wherein said server processor further executes instructions to authenticate said virtual good.
8. The system of claim 7, wherein said user computational device further comprises a user input device, wherein said user input device receives input commands, and said analysis engine determines said authentication of said virtual good according to an input request through said user input device.
9. The system of claim 7, wherein said user computational device further comprises an AR engine, wherein said AR engine is operated by said user device processor according to codes stored in said user device memory, and said analysis engine determines said authentication of said virtual good according to an automatic request from said AR engine.
10. The system of claim 9, wherein said user computational device further comprises a display and said AR engine causes branding information about said virtual good to be visually displayed by said display.
11. The system of claim 7, wherein said user computational device comprises a VR headset and a VR console, wherein said VR console comprises said user device processor and said user device memory, and wherein said VR console causes branding information about said virtual good to be visually displayed by said VR headset.
12. The system of claim 7, wherein said server further comprises a certification engine operated by said server processor according to codes stored in said server memory, and a certification database for storing authentication information, and wherein said certification engine determines an authentication of said virtual good according to said certification database.
13. The system of claim 12, wherein said certification database comprises a blockchain, wherein said authentication information is stored on said blockchain.
14. The system of claim 13, wherein said codes for said certification engine comprise codes for identifying non-legitimate, “fake” or fraudulent branded items according to information stored on said blockchain.
15. The system of claim 14, further comprising at least one additional server to operate a plurality of virtual worlds, and wherein said information stored on said blockchain determines authenticity of said virtual good for said plurality of virtual worlds.
16. The system of claim 7, wherein said branded items comprise one or more of any suitable type of trademark.
17. The system of claim 16, wherein said trademark comprises a word mark, color, logo, slogan or any other suitable type of trademark; any object designed by or associated with the brand; or any item featuring any component or material that is trademarked, patented or copyrighted; or a combination thereof.
18. The system of claim 7, further comprising a storage in communication with said analysis engine, wherein the mark is associated with information stored in said storage, wherein said storage comprises a blockchain implemented storage.
19. The system of claim 18, wherein one or more transactions related to the branded item are recorded in the storage.
20. The system of claim 19, wherein said one more or more transactions comprise one or more of creation of the item, association with the mark, transfer of the item through sale, licensing and the like, and legitimate use of the branded item.
21. A method for determining legitimacy of a branded item in a virtual economy through the system according to any of the above claims, comprising associating the branded item with a mark, recording said mark in a storage, and analyzing whether the branded item is legitimate according to information retrieved from said storage and analyzed by an analysis engine.</t>
  </si>
  <si>
    <t>Schwarz, Jaime</t>
  </si>
  <si>
    <t>H04L0009323600</t>
  </si>
  <si>
    <t>H04L0009323600 | G06Q0050184000 | H04L0009323900 | H04L0009326800 | H04L0009500000</t>
  </si>
  <si>
    <t>H04L00932000 | G06Q05018000</t>
  </si>
  <si>
    <t>US20220150071A1</t>
  </si>
  <si>
    <t>US11270318 B1 | US20220150071 A1</t>
  </si>
  <si>
    <t>I-000224980631</t>
  </si>
  <si>
    <t>20 years from 2018-11-07 (file date of patent US11270318)</t>
  </si>
  <si>
    <t>https://patentscout.innography.com/share/P0HfXoFMmFsC6_h2Vnol-w%3D%3D</t>
  </si>
  <si>
    <t>2022-02-03-INFORMATION ON STATUS: PATENT APPLICATION AND GRANTING PROCEDURE IN GENERAL</t>
  </si>
  <si>
    <t>https://patentscout.innography.com/share/P0HfXoFMmFsC6_h2Vnol-w%3D%3D/download</t>
  </si>
  <si>
    <t>https://ppubs.uspto.gov/pubwebapp/external.html?q=20220150071.pn.</t>
  </si>
  <si>
    <t>US20220150071 A1</t>
  </si>
  <si>
    <t>US11270318 B1</t>
  </si>
  <si>
    <t>1. A system to permit brand owners to maintain control over their valuable brands in a virtual economy for a virtual good, comprising a user computational device, said user computational device comprising a user device memory and a user device processor; and a server in communication with said user computational device, said server comprising a server memory and a server processor; wherein each of said user device processor and said server processor is configured to perform a defined set of operations in response to receiving a corresponding instruction selected from a predefined native instruction set of codes, said codes comprising a first set of machine codes selected from the native instruction set for receiving a request, from the user computational device to the server, to use a virtual good within a computer system; a second set of machine codes selected from the native instruction set for analyzing the request and for reviewing information to determine whether the virtual good may be used within the computer system by the server, wherein the virtual good is associated with a mark or a certificate, and wherein said mark or certificate is associated with a plurality of parameters, wherein said request for verification includes an identification of at least one computer system in which the virtual good may be used, and wherein said server processor executes at least one instruction to determine if said parameters indicate that a requested use is permitted according to said identification of said at least one computer system; and a third set of machine codes selected from the native instruction set to enable the virtual good to be accessed through said user computational device, if said requested use is permitted; wherein each of the first, second and third sets of machine code is stored in the user device memory or in the server memory, and is executed by the user device processor or the server processor.</t>
  </si>
  <si>
    <t>21. A method for determining legitimacy of a branded item in a virtual economy through the system according to any of the above claims, comprising associating the branded item with a mark, recording said mark in a storage, and analyzing whether the branded item is legitimate according to information retrieved from said storage and analyzed by an analysis engine.</t>
  </si>
  <si>
    <t>2020-11-13</t>
  </si>
  <si>
    <t>2023-05-13</t>
  </si>
  <si>
    <t>Typical autonomous systems implement black-box models for tasks such as motion detection and triaging failure events and as a result are unable to provide an explanation for its input features. An explainable framework may utilize one or more explainable white-box architectures. Explainable models allow for a new set of capabilities in industrial commercial and non- commercial applications such as behavioral prediction and boundary settings and therefore may provide additional safety mechanisms to be a part of the control loop of automated machinery apparatus and systems. An embodiment may provide a practical solution for the safe operation of automated machinery and systems based on the anticipation and prediction of consequences. The ability to guarantee a safe mode of operation in an autonomous system which may include machinery and robots which interact with human beings is a major unresolved problem which may be solved by an exemplary explainable framework.</t>
  </si>
  <si>
    <t>Behavioral prediction and boundary settings, control and safety assurance of ml &amp; ai systems</t>
  </si>
  <si>
    <t>Umnai Limited</t>
  </si>
  <si>
    <t>UMNAI Limited</t>
  </si>
  <si>
    <t>EP2021081505W</t>
  </si>
  <si>
    <t>1. A computer system for controlling an autonomous or semi-autonomous system to provide safety and assurance above a predetermined threshold, the system comprising: a behavioral model framework based on an explainable white-box model and/or a causal architecture, wherein the behavioral model is configured to: set conditional constraints that, upon activation, fire events to activate triggers, wherein the conditional constraints are based on coefficients of internal parts of the explainable white-box model and/or causal architecture, and wherein the behavioral model comprises conditional boundaries configured to adapt to the current environment of the autonomous or semi- autonomous system and update safety and assurance analysis in real-time.</t>
  </si>
  <si>
    <t>1. A computer system for controlling an autonomous or semi-autonomous system to provide safety and assurance above a predetermined threshold, the system comprising: a behavioral model framework based on an explainable white-box model and/or a causal architecture, wherein the behavioral model is configured to: set conditional constraints that, upon activation, fire events to activate triggers, wherein the conditional constraints are based on coefficients of internal parts of the explainable white-box model and/or causal architecture, and wherein the behavioral model comprises conditional boundaries configured to adapt to the current environment of the autonomous or semi- autonomous system and update safety and assurance analysis in real-time.
2. The computer system according to claim 1, wherein the behavioral model is further configured to: explain a predicted result by backtracking the result to an input feature space; and construct an importance value for each input feature in the input feature space.
3. The computer system according to claim 1 or 2, wherein the white-box model comprises modifiable coefficients, wherein the modifiable coefficients are optionally modifiable by one or more of human knowledge injection and/or autonomous system knowledge injection. The computer system according to any preceding claim, wherein the behavioral model framework comprises an explainable architecture. The computer system according to any preceding claim, wherein the behavioral model framework comprises a distributed explainable architecture, DEA, for increasing the performance of the behavioral model, wherein the DEA comprises multiple explainable architectures. The computer system according to claim 5, wherein the multiple explainable architectures comprise: a plurality of logically similar architectures configurable to be processed in parallel; and/or a plurality of logically equivalent architectures configurable to be processed in parallel. The computer system according to claim 5 or 6, wherein the DEA comprises a plurality of independent models, wherein each model, once trained, is configurable to operate independently without the need to rely on the full DEA, wherein the DEA is optimized for training. The computer system according to any of claims 4 to 7 wherein the behavioral model further comprises actions, wherein the conditions, events, triggers, and actions are based on attributions and information retrievable from internal states of the explainable architecture and/or from the output of computation carried out by the explainable architecture, wherein the output of the or each explainable architecture optionally comprises related meta information of the respective explainable architecture. The computer system according to any of claims 4 to 8, wherein the or each explainable architecture is defined by one or more of: explainable artificial intelligence, XAI; explainable Neural Nets, XNN; explainable Transducer Transformers, XTT; explainable Reinforcement Learning, XRL; explainable Spiking Nets, XSN; explainable Generative Adversarial Network, XGAN; explainable Auto Encoder Decoder, XAED; explainable Memory Nets, XMN; and/or 
Interpretable Neural Nets, INN. The computer system according to any preceding claim, wherein the behavioral model is further based on a black-box model, and wherein the system is optionally further configured to detect bias in white-box model and/or a portion of the black-box model; and/or wherein the behavioral model comprises feedback actions, wherein each feedback action defines a plurality of inputs to the, or one of the, explainable architecture(s), wherein the plurality of feedback actions optionally comprise feedback processes of sub-components of the behavioral model, and/or optionally comprise an update process that is received from a server associated with the behavioral model; and wherein each feedback action is optionally triggered by an output from a respective trigger, wherein the trigger is usable to update specific internal parts of the behavioral model and/or triggerable by the specific internal parts of the behavioral model. The computer system according to claim 10 as dependent on claim 4 or 5, wherein coefficients of the or each explainable architecture are modifiable to enforce specific rules, wherein rules are optionally enforceable by activation of a conditional constraint of the behavioral model, wherein the activation of a conditional constraint fires a corresponding event, wherein firing the corresponding event activates a corresponding trigger, wherein the system is configured to enforce the rule by using a feedback action on the explainable model and/or causal architecture. The computer system according to claim 10 or 11, wherein each feedback action is configured to trigger a sub-component of the behavioral model to execute an event in a cyclical or acyclical manner. The computer system according to any preceding claim, wherein the behavioral model is a Desired Behavioral Model, DBM, configured to represent the behavior of the autonomous or semi-autonomous system is trying to achieve by utilizing the explainable architecture and/or causal modelling; or the behavioral model is an Observed Behavioral Model, OBM, configured to be observed by a user of the autonomous or semi-autonomous system, wherein observing the OBM comprises gathering information via runtime monitoring of the OBM; or the behavioral model is an Expected Behavioral Model, EBM, constructed based on the world as imagined by a designer of the EBM, wherein the system is further configured to determine safety and assurance constraints and guarantees, wherein the safety and assurance constraints and guarantees comprise conditional constraints and/or model boundaries in the DBM, OBM or EBM. The computer system according to claim 4 or any claim dependent thereon, wherein the behavioral model further comprises input constraints for the explainable architecture, wherein the input constraints are based on the internal coefficients of the white-box model or on feature attributions constructed for the input dimensions of an observation. The computer system according to any preceding claim, wherein the behavioral model is further configured to generate an output that includes a model interpretation that is usable for an explainable update to the user of the autonomous or semi-autonomous system, wherein the system is optionally further configured to update a sub-component of the autonomous or semi-autonomous system based on the output of the behavioral model. The computer system according to claim 15, wherein the model interpretation comprises any one or more of: a prediction output that can be understood by the sub-component; a 2-tuple vector comprising the prediction output combined with a model explanation that can be understood by the sub-component, wherein the model explanation comprises coefficients of the behavioral model; and a 3-tuple vector comprising the prediction output combined with the model explanation and a justification of the model explanation that can be understood by the sub-component, wherein the justification of the model comprises additional information about the assumptions, processes associated with the production of the model explanation. The computer system according to claim 15 as dependent on claim 4, wherein the system is further configured to update the explainable architecture based on the output of the behavioral model. The computer system according to any preceding claim, wherein the behavioral model comprises a set of actions performable to change a status of a sub-component within the behavioral model or to raise an event within the behavioral model, wherein the behavioral model is optionally configured to trigger each of the set of actions with a respective one or more of the triggers; and/or each trigger may be activated by one or more of the conditional constraints; and/or the system is further configured to adjust the triggering rate of each trigger based on its respective activation history; and/or the system is configured to activate the triggers, events and conditional constraints using an event stream pipeline; and/or wherein each trigger is configured to trigger one of an additional event; a feedback action; or a terminal action. The computer system according to any preceding claim, wherein one or more of the triggers is configured to link a neuro-symbolic condition of the behavioral model with a previous historic rate of activations of the respective trigger in order to constrain the rate of trigger activation; and/or wherein the conditional constraint is based on a hierarchical form, and optionally based, on a conjunctive or disjunctive normal form; and/or wherein two or more conditional constraints are configured to, upon activation, fire the same event, and/or two or more events are configured to activate the same trigger; and/or wherein one or more of the constraints is a neuro-symbolic constraint, wherein the one or more neuro-symbolic constraints are implemented in the form of symbolic rules and/or expressions and/or in the form of a data structure that references the different features and variables accessible to the behavioral model, and/or the triggers of the behavioral model link neuro-symbolic conditions with a previous historic rate of activations in order to constrain the rate of trigger activation, wherein, optionally, the neuro-symbolic conditions are based on a fusion of conditions based on multiple models within the behavioral model. The computer system according to any preceding claim, wherein the events are relayed and processed by a message broker. The computer system according to any preceding claim, wherein one or more of the events refer to a safety concern in the autonomous or semi-autonomous system, wherein the behavioral model framework optionally comprises named reference labels assignable to particular components within the behavioral model framework, and useable in safety related constraints to ensure said constraints are identifiable by a user, wherein the named reference labels are optionally useable by a model discovery and optimization system, wherein the named reference labels are optionally invariant under dynamical processes, and wherein the named reference labels are optionally useable to integrate the behavioral model framework with a neuro-symbolic Al system. The computer system according to claim 21, wherein the conditional constraint or constraints that, upon activation fire the one or more events that refer to the safety concern is/are conditional proximity constraint(s) and further, optionally, binary proximity constraint(s), wherein the conditional proximity constraint(s) are optionally learnt using a machine learning model, wherein the or each conditional proximity supports a respective hyperplane constructed and maximized using the machine learning model. The computer system according to any preceding claim, wherein one or more of the events are associated with constraints defined by an associated set of tolerances and/or confidence intervals. The computer system according to claim 23 as dependent on claim 21 or 22, wherein one or more of the events that refer to a safety concern trigger a respective action to apply a dynamic transformation to the associated set of tolerances and/or confidence intervals. The computer system according to any preceding claim, wherein the behavioral model framework is configured to utilize causal logic including one or more of 
Pearl's structural causal model and, optionally, associated derivations and variations; dynamic causal models; 
Bayesian model comparison methods and variations; granger causal models; relativistic causal models arising from special and general relativity; implementations that allow machine learning to represent cause-and-effect; and/or what-if, what-if-not and generic counterfactual processing. The computer system according to any preceding claim, wherein the behavioral model framework is configured to allow for the fusion of conditional constraints in order for the activation of a trigger, such that multiple conditional constraints may be based on a graphical causal model and on an explainable architecture; and/or the behavioral model framework is configured to use one or more of: resource description framework tree, resource description framework graph, hypergraph structure, and simplicial complex as the basis of its constraint and predictive logic implementation. The computer system according to claim 4 or any claim dependent thereon, wherein the behavioral model framework is configured to set conditions based on global or local feature attributions of input dimensions of the one or more explainable architectures; and/or wherein the or each explainable architecture comprises a separate behavioral model that is utilized during training of a machine learning process, and optionally in the backpropagation phase of the training. The computer system according to any preceding claim, wherein the conditions constraints, actions, triggers and events are configured based on a combination of abductive, inductive, and deductive logic in conjunction with causal logic. The computer system according to any preceding claim, wherein the behavioral model framework is within a behavioral model hierarchy comprising a plurality of super-states and a plurality of behavioral model frameworks communicatively linked with the superstates, wherein the plurality of super-states are configured to prevent redundant transitions within the behavioral model framework; and/or wherein the behavioral model framework is implemented using: neuromorphic hardware; and/or a quantum processing system, wherein the behavioral model framework is configured to implement a quantum or a hybrid of a quantum and a classical algorithm. The computer system according to any preceding claim, wherein the behavioral model framework is configured to operate in conjunction with Al models that process sequence data, wherein the sequence data is useable as input for the constraints, conditions, events, triggers, and actions of the behavioral model framework. The computer system according to claim 30, wherein the sequence data includes data points which contain feature data in a sequential format, wherein the data points optionally comprise one or more associated labels indicative of the output value or classification for a specific data point or a continuous or non-continuous interval of data points. The computer system according to any preceding claim, wherein the behavioral model framework comprises a behavioral specification that includes a set of initial sates and a set of respective execution traces, wherein an execution trace defines a sequence of executed actions. The computer system according to claim 32 as dependent on claim 30 or 31, wherein the behavioral model hierarchy comprises constraints on differences between the behavioral specifications of the different behavioral model frameworks of the behavioral model hierarchy, wherein the differences between the behavioral specifications are optionally useable to monitor for deviations between an expected behavioral model framework and empirical observations of execution sequences of an observed behavioral model framework. The computer system according to any preceding claim, wherein the behavioral model is a quantum behavioral model configured to: utilize one or more quantum algorithms to predict and refine the boundary conditions of an Expected Behavioral Model, EBM; and/or use any one or more of Shor's algorithm, a Quantum Phase estimation algorithm Grover's algorithm, Quantum Counting, Quantum Hamiltonian NAND trees, or the HHL 
101 algorithm to speed up the constraint(s), condition(s), event(s) and/or trigger(s) of the quantum behavioral model; and/or use a hybrid solution including one or more of the QAOA algorithm, VQE eingensolver, CQE eingensolver, and quantum matrix inversion to speed up at least a part of the processes involved in the behavioral model. The computer system according to any preceding claim, wherein the behavioral model includes one or more conditional constraints associated with a difference between a behavioral specification of an expected behavioral model and a behavioral specification of an observed behavioral model, wherein the system is configured to monitor the behavioral model for deviations between the expected behavioral model and empirical observations in execution sequences of the observed behavioral model. The computer system according to any preceding claim, wherein the system is further configured to do constant monitoring of an Al model to detect anomalous behavior of the Al model, and/or the system is further configured to perform continuous certification of an Al model, with an optional confidence/error interval, according to predetermined criteria and to raise an action when it is determined, based on the criteria, that the certification may be revoked. The computer system according to any preceding claim, wherein the behavioral model comprises multiple criteria measures based on model performance, bias reduction, and/or 
102 risk management, wherein the behavioral model is configured to implement a node discovery process to discover optimal nodes for a selected combination of the multiple criteria measures. The computer system according to claim 4 or any claim dependent thereon, wherein the or each explainable architecture is configured to predict a future location of an object perceived by an autonomous vehicle. The computer system according to any preceding claim, wherein the behavioral model framework is implemented in Industry 4.0 automation systems, a Supervisory Control and Data Acquisition system, and/or a human-machine interface; and/or wherein the behavioral model framework covers future predicted operational spaces and behavior for associated models that have not been observed yet; and/or. wherein the behavioral model framework is incorporated within: a risk identification, assessment and mitigation framework; a workflow, or robotic process automation system; a data lake system; a goal-plan-action system; an Explanation and Interpretation Generation system; and/or a privacy preserving Al system. 
103 
RECTIFIED SHEET (RULE 91) ISA/EP The computer system according to any preceding claim, wherein the behavioral framework is configured to provide a practical safety solution for virtual reality, VR, augmented reality, AR, and/or metaverse applications by: providing realistic safety boundaries of a physical nature, and/or utilizing a psychologically derived human-behavior model to identify and assess potentially harmful situations for VR, AR, and/or metaverse participants. The computer system according to any preceding claim, further comprising any one or more of: digital electronic circuitry; analog circuitry; digital-analog hybrid integrated circuitry; application specific integrated circuits, ASICs; filed programmable gate arrays, FPGAs; neuromorphic circuits; optical circuits; optical-electronic hybrid computing hardware; and/or quantum computing hardware. 
104 
RECTIFIED SHEET (RULE 91) ISA/EP</t>
  </si>
  <si>
    <t>Dalli, Angelo|Grech, Matthew|Pirrone, Mauro</t>
  </si>
  <si>
    <t>G06N0020000000</t>
  </si>
  <si>
    <t>G06N0020000000 | G06N0005045000 | G06N0005003000 | G06N0005048000</t>
  </si>
  <si>
    <t>G06N02000000</t>
  </si>
  <si>
    <t>G06N02000000 | G06N00500000</t>
  </si>
  <si>
    <t>US20220156614A1|WO2022101403A1|US11468350B2</t>
  </si>
  <si>
    <t>US20220156614 A1 | WO2022101403 A1 | US11468350 B2</t>
  </si>
  <si>
    <t>I-000225573275</t>
  </si>
  <si>
    <t>30 months from 2020-11-13 (priority date)</t>
  </si>
  <si>
    <t>https://patentscout.innography.com/share/dvUFdEfLAkMUUOW3JOdvlA%3D%3D</t>
  </si>
  <si>
    <t>2022-06-29-EP: THE EPO HAS BEEN INFORMED BY WIPO THAT EP WAS DESIGNATED IN THIS APPLICATION</t>
  </si>
  <si>
    <t>https://patentscout.innography.com/share/dvUFdEfLAkMUUOW3JOdvlA%3D%3D/download</t>
  </si>
  <si>
    <t>https://v3.espacenet.com/publicationDetails/biblio?CC=WO&amp;NR=2022101403A1&amp;KC=A1&amp;FT=D&amp;date=20220519&amp;DB=EPODOC&amp;locale=</t>
  </si>
  <si>
    <t>WO2022095321 A1</t>
  </si>
  <si>
    <t>US20220156614 A1</t>
  </si>
  <si>
    <t>2.  1.  A computer system for controlling an autonomous or semi-autonomous system to provide safety and assurance above a predetermined threshold, the system comprising: a behavioral model framework based on an explainable white-box model and/or a causal architecture, wherein the behavioral model is configured to: set conditional constraints that, upon activation, fire events to activate triggers, wherein the conditional constraints are based on coefficients of internal parts of the explainable white-box model and/or causal architecture, and wherein the behavioral model comprises conditional boundaries configured to adapt to the current environment of the autonomous or semi- autonomous system and update safety and assurance analysis in real-time.</t>
  </si>
  <si>
    <t>US20170351293 A1 | US20180120433 A1 | US20190123109 A1 | US20190354894 A1 | US20200091124 A1 | US20200333530 A1 | US20200348468 A1</t>
  </si>
  <si>
    <t>2021-12-09</t>
  </si>
  <si>
    <t>2023-06-09</t>
  </si>
  <si>
    <t>2019-12-05</t>
  </si>
  <si>
    <t>A method for assembling a photonic computing system includes attaching a photonic source to a support structure and attaching a photonic integrated circuit to the support structure. The photonic source includes a first laser die on a substrate configured to provide a first optical beam and a second laser die on the substrate configured to provide a second optical beam. The photonic integrated circuit includes a first waveguide and a first coupler coupled to the first waveguide and a second waveguide and a second coupler coupled to the second waveguide. The method includes attaching a plurality of beam-shaping optical elements to the support structure the substrate or the photonic integrated circuit in which the attaching includes aligning a first beam-shaping optical element during attachment so that the first optical beam is coupled to the first coupler and aligning a second beam-shaping optical element during attachment so that the second optical beam is coupled to the second coupler.</t>
  </si>
  <si>
    <t>Photonic computing platform</t>
  </si>
  <si>
    <t>Lightelligence Inc.; Shanghai Xizhi Technology Co.; Lightelligence Pte. Ltd.</t>
  </si>
  <si>
    <t>Lightelligence, Inc.</t>
  </si>
  <si>
    <t>LIGHTELLIGENCE, INC.</t>
  </si>
  <si>
    <t>US2021062654W</t>
  </si>
  <si>
    <t>1. A method for assembling a photonic computing system, the method comprising: attaching a photonic source to a support structure, the photonic source comprising: a first laser die on a substrate and configured to provide a first optical beam, and a second laser die on the substrate and configured to provide a second optical beam; attaching a photonic integrated circuit to the support structure, the photonic integrated circuit comprising: a first waveguide and a first coupler coupled to the first waveguide, and a second waveguide and a second coupler coupled to the second waveguide; and attaching a plurality of beam-shaping optical elements to the support structure, the substrate, or the photonic integrated circuit, the attaching comprising: providing, using the first laser die, the first optical beam, aligning a first beam-shaping optical element during attachment so that the first optical beam is coupled to the first coupler, and providing, using the second laser die, the second optical beam, aligning a second beam-shaping optical element during attachment so that the second optical beam is coupled to the second coupler.</t>
  </si>
  <si>
    <t>1. A method for assembling a photonic computing system, the method comprising: attaching a photonic source to a support structure, the photonic source comprising: a first laser die on a substrate and configured to provide a first optical beam, and a second laser die on the substrate and configured to provide a second optical beam; attaching a photonic integrated circuit to the support structure, the photonic integrated circuit comprising: a first waveguide and a first coupler coupled to the first waveguide, and a second waveguide and a second coupler coupled to the second waveguide; and attaching a plurality of beam-shaping optical elements to the support structure, the substrate, or the photonic integrated circuit, the attaching comprising: providing, using the first laser die, the first optical beam, aligning a first beam-shaping optical element during attachment so that the first optical beam is coupled to the first coupler, and providing, using the second laser die, the second optical beam, aligning a second beam-shaping optical element during attachment so that the second optical beam is coupled to the second coupler.
2. The method of claim 1, wherein aligning the first beam-shaping optical element during attachment of the first beam-shaping optical element includes translating the first beam-shaping optical element with respect to the support structure, the substrate, or the photonic integrated circuit.
3. The method of claim 2, wherein the translation is substantially within a plane parallel to a common plane. 
4. The method of claim 1, wherein aligning the first beam-shaping optical element during attachment of the first beam-shaping optical element includes monitoring feedback indicating a coupling efficiency of the first beam into the first waveguide through the first coupler.
5. The method of any one of claims 1 to 4, wherein aligning the second beam-shaping optical element during attachment of the second beam-shaping optical element occurs after attachment of the first beam-shaping optical element has been completed.
6. The method of claim 1, wherein the photonic source comprises a third laser die on the substrate configured to provide a third optical beam, the first laser die is configured to provide the first optical beam from a first emitting location, the second laser die is configured to provide the second optical beam from a second emitting location, the third laser die is configured to provide the third optical beam from a third emitting location, wherein the first, second, and third emitting locations are substantially aligned along a line.
7. The method of claim 6, wherein the photonic source comprises a fourth laser die on the substrate configured to provide a fourth optical beam from a fourth emitting location, wherein the first, second, third, and fourth emitting locations are substantially aligned along a plane.
8. The method of any of claims 1 to 4, wherein the first laser die and the second laser die are oriented such that the first optical beam and the second optical beam are substantially aligned along a plane.
9. The method of claim 8, wherein the first, second, and third laser dies are oriented such that the first, second, and third optical beams are substantially aligned along a plane.
10. The method of any of claims 1 to 4, wherein the photonic source comprises a chip-on- submount structure that includes a laser diode bar that comprises a plurality of laser dies, including the first and second laser dies, attached to a structure that includes at least one of a heatsink or a thermoelectric cooler. 
11. The method of claim 10 in which the chip-on-submount structure is attached to a structure that includes the thermoelectric cooler, and the method comprises providing a thermoelectric cooler controller that is configured to control a temperature of the thermoelectric cooler.
12. The method of any of claims 1 to 4, wherein the first and second beam-shaping optical elements comprise lenses.
13. The method of any of claims 1 to 4, wherein the first and second couplers comprise waveguide grating couplers coupled to the respective first and second waveguides.
14. The method of any of claims 1 to 4, wherein the first and second couplers comprise edge couplers coupled to the respective first and second waveguides.
15. The method of any of claims 1 to 4, wherein the support structure comprises an interposer that provides electrical signal paths for electrical signals from the photonic integrated circuit.
16. The method of claim 15, wherein the interposer comprises an optoelectronic interposer that provides optical signal paths for optical signals from the photonic integrated circuit.
17. The method of claim 15, comprising attaching the interposer to an LGA substrate.
18. The method of claim 16, wherein the photonic integrated circuit is attached to the optoelectronic interposer in a controlled collapse chip connection.
19. The method of any of claims 1 to 4, wherein the support structure comprises an LGA substrate.
20. The method of any of claims 1 to 4, comprising electrically coupling a first electronic integrated circuit to a top side of the photonic integrated circuit, and electrically coupling a second electronic integrated circuit to a bottom side of the photonic integrated circuit. 
21. The method of claim 20, wherein the second electronic integrated circuit comprises a digital storage module, and the first electronic integrated circuit comprises a hybrid digital/analog integrated circuit that is configured to provide analog control signals for controlling photonic computing elements in the photonic integrated circuit and send/receive digital data to/from the digital storage module.
22. The method of claim 20, wherein the photonic integrated circuit comprises a substrate, and the method comprises providing conductive vias that pass through the substrate of the photonic integrated circuit to enable electrical signals to be transmitted between the first electronic integrated circuit and the second electronic integrated circuit through the conductive vias.
23. An apparatus comprising: a photonic source attached to a support structure, the photonic source comprising: a first laser die on a first substrate in which the first laser die is configured to provide a first optical beam, and a second laser die on the first substrate or a second substrate in which the second laser die is configured to provide a second optical beam; a photonic integrated circuit attached to the support structure, the photonic integrated circuit comprising: a first waveguide and a first coupler coupled to the first waveguide, and a second waveguide and a second coupler coupled to the second waveguide; and a plurality of beam-shaping optical elements attached to at least one of the support structure, the first substrate, respective first and second substrates, or the photonic integrated circuit, wherein the beam-shaping optical elements comprise: a first beam-shaping optical element configured to couple the first optical beam to the first coupler on the photonic integrated circuit, and a second beam-shaping optical element configured to couple the second optical beam to the second coupler on the photonic integrated circuit.
24. The apparatus of claim 23, further comprising a beam-redirecting optical element attached to the photonic integrated circuit, the beam-redirecting element configured to redirect the first optical beam into the first coupler and to redirect the second optical beam into the second coupler.
25. The apparatus of claim 24, wherein the beam-redirecting element comprises a first surface that is configured to reflect the first optical beam into the first coupler, and a second surface that is configured to reflect the second optical beam into the second coupler.
26. The apparatus of claim 25, wherein the first surface of the beam-redirecting element overlaps the second surface of the beam-redirecting element.
27. The apparatus of claim 24, wherein the beam-redirecting optical element comprises a prism.
28. The apparatus of claim 24, wherein the beam-redirecting optical element comprises a mirror.
29. The apparatus of any of claims 23 to 28, wherein the photonic source comprises a third laser die disposed on the substrate and configured to provide a third optical beam, the first laser die is configured to provide the first optical beam from a first emitting location, the second laser die is configured to provide the second optical beam from a second emitting location, the third laser die is configured to provide the third optical beam from a third emitting location, wherein the first, second, and third emitting locations are substantially aligned along a line, and a distance between any of the first, second, and third emitting locations and the line is less than a specified distance. 
30. The apparatus of claim 29, wherein the photonic source comprises a fourth laser die on the substrate, the fourth laser die is configured to provide a fourth optical beam from a fourth emitting location, wherein the first, second, third, and fourth emitting locations are substantially aligned along a plane, and a distance between any of the first, second, third, and fourth emitting locations and the plane is less than a specified distance.
31. The apparatus of any of claims 23 to 28, wherein the photonic source comprises at least eight laser dies on the first substrate or respective substrates, including the first and second laser dies, with the first substrate or the respective substrates attached to one or more heatsink structures.
32. The apparatus of claim 31, wherein the laser dies are configured to provide optical beams from corresponding emitting locations that are substantially aligned along a plane, and a distance between any of the emitting locations and the plane is less than a specified distance.
33. The apparatus of any of claims 23 to 28, wherein the first and second beam-shaping optical elements comprise lenses.
34. The apparatus of any of claims 23 to 28, wherein the first and second couplers comprise waveguide grating couplers coupled to the respective first and second waveguides.
35. The apparatus of any of claims 23 to 28, wherein the first and second couplers comprise edge couplers coupled to the respective first and second waveguides.
36. The apparatus of any of claims 23 to 28, wherein the support structure comprises an optoelectronic interposer that provides electrical signal paths for electrical signals from the photonic integrated circuit, and optical signal paths for optical signals from the photonic integrated circuit.
37. The apparatus of claim 36, wherein the photonic integrated circuit is attached to the optoelectronic interposer in a controlled collapse chip connection.
38. The apparatus of claim 37, further comprising an electronic integrated circuit. 
39. The apparatus of claim 38, wherein the photonic integrated circuit comprises optoelectronic computing elements, and the electronic integrated circuit comprises control circuitry configured to provide electronic control signals for controlling the optoelectronic computing elements.
40. The apparatus of claim 39, wherein the optoelectronic computing elements comprise at least one optical modulator that modulates an optical signal based on at least one of the electronic control signals.
41. The apparatus of claim 38, wherein the electronic integrated circuit is attached to the optoelectronic interposer in a controlled collapse chip connection.
42. The apparatus of claim 38, wherein the electronic integrated circuit is attached to the photonic integrated circuit in a controlled collapse chip connection.
43. The apparatus of claim 36, further comprising a high bandwidth memory (HBM) stack of two or more dynamic random access memory (DRAM) integrated circuits attached to the optoelectronic interposer
44. The apparatus of any of claims 23 to 28 in which the first laser die is configured such that the first optical beam has a first wavelength, the second laser die is configured such that the second optical beam has a second wavelength, the first wavelength is different from the second wavelength, and the photonic integrated circuit includes a wavelength division multiplexed computation module that concurrently processes a first optical signal derived from the first optical beam and a second optical signal derived from the second optical beam. 
45. An apparatus comprising: a photonic source attached to a support structure, the photonic source comprising: a laser module that is configured to provide an optical beam; a photonic integrated circuit attached to the support structure, the photonic integrated circuit comprising: a first waveguide and a coupler coupled to the first waveguide, and optoelectronic circuitry that is in optical communication with the first waveguide and is configured to receive one or more electrical signals from one or more control electrodes; at least one beam-shaping optical element attached to the support structure, the photonic source, or the photonic integrated circuit, in which the beam-shaping optical element is configured to couple the optical beam to the coupler on the photonic integrated circuit; a digital electronic module in electrical contact with the photonic integrated circuit; and an electrical integrated circuit in electrical contact with the photonic integrated circuit, and comprising analog circuitry and digital circuitry, wherein the analog circuitry is in electrical contact with at least one of the one or more control electrodes; wherein the photonic integrated circuit further comprises a plurality of metal paths through at least a portion of the photonic integrated circuit configured to provide electrical contact between the digital circuitry in the electrical integrated circuit and the digital electronic module.
46. The apparatus of claim 45, wherein the digital electronic module is in electrical contact with the photonic integrated circuit on a same surface as the electrical integrated circuit.
47. The apparatus of claim 45, wherein the digital electronic module is in electrical contact with a first surface of the photonic integrated circuit, the electrical integrated circuit is in electrical contact with a second surface of the photonic integrated circuit, the second surface is opposite the first surface. 
48. The apparatus of any of claims 45 to 47, wherein the digital electronic module comprises a stack of two or more dynamic random access memory (DRAM) dies.
49. The apparatus of any of claims 45 to 47, wherein the support structure comprises a substrate comprising an array of surface-mount electrical contacts in communication with electrical contacts of the photonic integrated circuit.
50. A method for assembling a photonic computing system, the method comprising: attaching a plurality of laser dies to a first support structure, in which each laser die is configured to generate an optical beam; attaching a photonic integrated circuit to the first support structure, in which the photonic integrated circuit comprises: a plurality of optical waveguides configured to carry optical signals, wherein a set of multiple input values are encoded on respective optical signals carried by the optical waveguides, a plurality of couplers, each coupler coupled to a corresponding waveguide, an optical network comprising a plurality of optical splitters or directional couplers, and an array of optoelectronic circuitry sections, in which each optoelectronic circuitry section is configured to receive an optical wave from one of the output ports of the optical network, and each optoelectronic circuitry section includes: at least one photodetector configured to detect at least one optical wave from an operation; and at least one conductive path integrated in the photonic integrated circuit electrically coupled to the photodetector and electrically coupled to an electrical output port; and attaching a plurality of beam-shaping optical elements to the first support structure or the photonic integrated circuit, in which each beam-shaping optical element is associated with a laser die and a coupler, and the attaching comprises aligning each beam-shaping optical element to cause the optical beam generated by the corresponding laser die to be coupled, through the corresponding coupler, to the corresponding waveguide. 
51. The method of claim 50, wherein attaching the plurality of laser dies to the support structure comprises attaching the plurality of laser dies to a second support structure that includes at least one of a heatsink or a thermoelectric cooler, and attaching the second support structure to the first support structure.
52. The method of claim 50, wherein aligning each beam-shaping optical element during attachment of the beam-shaping optical element includes monitoring feedback indicating a coupling efficiency of the corresponding optical beam into the corresponding waveguide through the corresponding coupler.
53. The method of claim 52, comprising sequentially aligning the beam-shaping optical elements, wherein a second beam-shaping optical element is aligned based on monitoring the feedback indicating the coupling efficiency after completion of alignment of a first beam- shaping optical element based on monitoring the feedback indicating the coupling efficiency, and a third beam-shaping optical element is aligned based on monitoring the feedback indicating the coupling efficiency after completion of alignment of the second beam-shaping optical element based on monitoring the feedback indicating the coupling efficiency.
54. The method of any of claims 50 to 53, comprising electrically coupling a first electronic integrated circuit to a top side of the photonic integrated circuit, and electrically coupling a second electronic integrated circuit to a bottom side of the photonic integrated circuit.
55. The method of claim 54, wherein the second electronic integrated circuit comprises a digital storage module, and the first electronic integrated circuit comprises a hybrid digital/analog integrated circuit that is configured to provide analog control signals for controlling photonic computing elements in the photonic integrated circuit and send/receive digital data to/from the digital storage module.
56. The method of claim 54, wherein the photonic integrated circuit comprises a substrate, and the method comprises providing conductive vias that pass through the substrate of the photonic integrated circuit to enable electrical signals to be transmitted between the first electronic integrated circuit and the second electronic integrated circuit through the conductive vias. 
57. The method of claim 55, wherein each optoelectronic circuitry section comprises a Mach-Zehnder interferometer configured to perform a multiplication operation between (1) a value based on one of the input values scaled by the optical network and (2) an electrical value provided by an electrical input port electrically coupled to the hybrid digital/analog integrated circuit, and wherein the hybrid digital/analog integrated circuit is configured to provide the electrical value to the electrical input port of the optoelectronic circuitry section.
58. The method of any of claims 50 to 53, comprising: attaching the first support structure to an LGA substrate; wherein attaching the plurality of laser dies to the first support structure is performed after the first support structure is attached to the LGA substrate.
59. An apparatus comprising: a first support structure; a plurality of laser dies that are attached to the first support structure, in which each laser die is configured to generate an optical beam; a photonic integrated circuit that is attached to the first support structure, in which the photonic integrated circuit comprises: a plurality of optical waveguides configured to carry optical signals, wherein a set of multiple input values are encoded on respective optical signals carried by the optical waveguides, a plurality of couplers, each coupler coupled to a corresponding waveguide, an optical network comprising a plurality of optical splitters or directional couplers, and an array of optoelectronic circuitry sections, in which each optoelectronic circuitry section is configured to receive an optical wave from one of the output ports of the optical network, and each optoelectronic circuitry section includes: at least one photodetector configured to detect at least one optical wave from an operation; and at least one conductive path integrated in the photonic integrated circuit electrically coupled to the photodetector and electrically coupled to an electrical output port; and a plurality of beam-shaping optical elements that are attached to the support structure or the photonic integrated circuit, in which each beam-shaping optical element is associated with a laser die and a coupler, and is configured to cause the optical beam generated by the corresponding laser die to be coupled, through the corresponding coupler, to the corresponding waveguide.
60. The apparatus of claim 59, comprising a second support structure that includes at least one of a heatsink or a thermoelectric cooler, in which the plurality of laser dies are attached to the second support structure, and the second support structure is attached to the first support structure.
61. The apparatus of claim 59, wherein the photonic integrated circuit comprises a feedback photodetector and a tap waveguide associated with one of the optical waveguides, the tap waveguide is configured to provide a portion of the optical power being coupled into the corresponding optical waveguide to the feedback photodetector; wherein the apparatus comprises feedback monitor circuitry that is configured to monitor a feedback signal generated by the feedback photodetector.
62. The apparatus of any of claims 59 to 61, comprising a first electronic integrated circuit electrically coupled to a top side of the photonic integrated circuit, and a second electronic integrated circuit electrically to a bottom side of the photonic integrated circuit.
63. The apparatus of claim 62, wherein the second electronic integrated circuit comprises a digital storage module, and the first electronic integrated circuit comprises a hybrid digital/analog integrated circuit that is configured to provide analog control signals for controlling photonic computing elements in the photonic integrated circuit and send/receive digital data to/from the digital storage module.
64. The apparatus of claim 62, wherein the photonic integrated circuit comprises a substrate and conductive vias that pass through the substrate, the conductive vias enable electrical signals to be transmitted between the first electronic integrated circuit and the second electronic integrated circuit through the conductive vias. 
65. The apparatus of claim 63, wherein each optoelectronic circuitry section comprises a Mach-Zehnder interferometer configured to perform a multiplication operation between (1) a value based on one of the input values scaled by the optical network and (2) an electrical value provided by an electrical input port electrically coupled to the hybrid digital/analog integrated circuit, and wherein the hybrid digital/analog integrated circuit is configured to provide the electrical value to the electrical input port of the optoelectronic circuitry section.
66. The apparatus of any of claims 59 to 61, wherein the couplers comprise at least one of a guided-mode resonance coupler or an edge coupler.
67. The apparatus of any of claims 59 to 61 in which the plurality of laser dies are configured to generate optical beams that have multiple wavelengths, including at least two optical beams that have different wavelengths, and the photonic integrated circuit includes a wavelength division multiplexed computation module that concurrently processes a first optical signal having a first wavelength and representing a first value, and a second optical signal having a second wavelength and representing a second value.
68. A method for assembling a photonic computing system, the method comprising: attaching a plurality of laser dies to a first support structure, in which each laser die is configured to generate a laser beam; attaching a photonic integrated circuit to the first support structure, in which the photonic integrated circuit comprises: a plurality of input waveguides configured to carry input optical signals, a plurality of couplers, each coupler coupled to a corresponding input waveguide, a plurality of operation photodetectors, in which each operation photodetector is configured to detect an optical signal derived from an operation based on at least one input optical signal, a plurality of feedback photodetectors, in which each feedback photodetector is associated with an input waveguide, a plurality of tap waveguides, in which each tap waveguide is associated with an input waveguide and is configured to provide a portion of the optical power coupled into the input waveguide to the feedback photodetector; attaching a plurality of beam-shaping optical elements to the first support structure or the photonic integrated circuit, in which each beam-shaping optical element is associated with one of the laser dies and one of the couplers; driving the laser dies to generate laser beams sequentially or in parallel; using each feedback photodetector to generate a feedback signal to indicate a coupling efficiency of the laser beam into the corresponding waveguide through the corresponding coupler; and aligning each beam-shaping optical element to cause the laser beam generated by the corresponding laser die to be coupled through the corresponding coupler to the corresponding input waveguide in the photonic integrated circuit, in which the aligning of the beam-shaping optical element is based on the feedback signal generated by the corresponding feedback photodetector.
69. The method of claim 68, wherein the aligning of the beam-shaping optical element comprises aligning the beam-shaping optical element to maximize the coupling of the laser beam into the corresponding waveguide.
70. The method of claim 68 or 69, wherein attaching a plurality of laser dies comprises attaching at least eight laser dies, the photonic integrated circuit is configured to perform operations on input vectors each having at least eight parallel bits, and each bit is represented by a modulated version of the laser beam generated by one of the laser dies.
71. The method of claim 68 or 69, wherein the beam-shaping optical elements comprise lenses. 
72. An apparatus comprising: a photonic integrated circuit attached to a support structure by an array of first conducting structures on a first surface of the photonic integrated circuit, the photonic integrated circuit comprising: a waveguide and a coupler configured to couple an optical beam into the waveguide; and an electronic integrated circuit attached to the photonic integrated circuit by an arrangement of second conducting structures that are coupled to the photonic integrated circuit and to the electronic integrated circuit, where the arrangement of second conducting structures provide electrical communication between the electronic integrated circuit and the photonic integrated circuit; wherein the photonic integrated circuit further comprises: a plurality of conductive vias through at least a portion of the photonic integrated circuit extending from the arrangement of second conducting structures to the first surface of the photonic integrated circuit.
73. The apparatus of claim 72, wherein the coupler is in proximity to the first surface of the photonic integrated circuit.
74. The apparatus of claim 73, wherein the photonic integrated circuit further comprises optoelectronic computing elements including at least one optoelectronic computing element coupled to the waveguide.
75. The apparatus of claim 74, wherein the optoelectronic computing elements are in one or more layers of the photonic integrated circuit that are closer to the first surface than to the arrangement of second conducting structures.
76. The apparatus of claim 73, wherein the arrangement of second conducting structures include a plurality of backside redistribution layers (RDLs) in proximity to a second surface of the photonic integrated circuit. 
77. The apparatus of claim 76, wherein the arrangement of second conducting structures include a plurality of backside redistribution layers (RDLs) in proximity to a surface of the electronic integrated circuit.
78. The apparatus of any of claims 72 to 77, wherein the photonic integrated circuit further comprises optoelectronic computing elements including at least one optoelectronic computing element coupled to the waveguide.
79. The apparatus of claim 78, wherein the electronic integrated circuit comprises control circuitry configured to provide electronic control signals for controlling the optoelectronic computing elements.
80. The apparatus of claim 79, wherein the optoelectronic computing elements comprise at least one optical modulator that modulates an optical signal based on at least one of the electronic control signals.
81. The apparatus of any of claims 72 to 77, wherein the support structure comprises a land grid array substrate that includes an array of contacts on a surface of the land grid array substrate that provide electrical connectivity to the array of first conducting structures on the first surface of the photonic integrated circuit.
82. The apparatus of claim 81, further comprising a photonic source configured to provide the optical beam.
83. The apparatus of claim 82, wherein the photonic source is attached to a portion of the land grid array substrate or an interposer attached to the land grid array substrate.
84. The apparatus of claim 83, wherein the coupler comprises an edge coupler.
85. The apparatus of claim 82, wherein the land grid array substrate defines an opening, and a portion of a module is inserted within a portion of the opening and is attached to the first surface of the photonic integrated circuit.
86. The apparatus of claim 85, wherein the portion of the module comprises an optical connector coupled to the photonic source.
87. The apparatus of claim 86, wherein the coupler comprises a waveguide grating coupler. 
88. The apparatus of claim 85, wherein the module comprises a digital storage module.
89. The apparatus of claim 88, wherein the digital storage module comprises a high bandwidth memory (HBM) stack of two or more dynamic random access memory (DRAM) integrated circuits.
90. The apparatus of any of claims 72 to 77, wherein the coupler comprises a waveguide grating coupler.
91. The apparatus of any of claims 72 to 77, wherein the coupler comprises an edge coupler.
92. An apparatus comprising: an electronic integrated circuit; and a photonic integrated circuit comprising: a plurality of conductive vias through at least a portion of the photonic integrated circuit, in which the conductive vias extend to a first surface of the photonic integrated circuit facing away from the electronic integrated circuit, and the conductive vias are configured to provide electrical conductive paths for the electronic integrated circuit to a component coupled to the first surface of the photonic integrated circuit.
93. The apparatus of claim 92, wherein a plurality of the conductive vias are configured to provide electrical contacts to a substrate for the electronic integrated circuit, in which the photonic integrated circuit is disposed between the electronic integrated circuit and the substrate.
94. The apparatus of claim 93, wherein the substrate comprises a land grid array substrate that includes an array of contacts on a surface of the land grid array substrate that provide electrical connectivity to an array of conducting structures on the first surface of the photonic integrated circuit.
95. The apparatus of claim 94, comprising the land grid array substrate. 
96. The apparatus of claim 92 in which the photonic integrated circuit comprises: a waveguide, a coupler configured to couple an optical beam into the waveguide, and optoelectronic computing elements including at least one optoelectronic computing element coupled to the waveguide.
97. The apparatus of claim 96 in which the electronic integrated circuit comprises control cir *** truncated to 32500 characters ***</t>
  </si>
  <si>
    <t>Wu, Jianhua|Chen, Junjie|Su, Zhan|Chen, Hui|Meng, Huaiyu|Shen, Yichen</t>
  </si>
  <si>
    <t>G02B0006422700</t>
  </si>
  <si>
    <t>G02B0006422700 | G02B0027620000 | G02B0006424400 | G06E0001000000 | G06N0003067500 | G02B0006124000 | G02B0006420600 | G02B0006421400 | G02B0006427100 | G02B0006428600 | G02B0007003000 | G02B0006340000 | G02B0006426900</t>
  </si>
  <si>
    <t>G02B00612000</t>
  </si>
  <si>
    <t>G02B00612000 | G02B00642000 | H01S00540000 | H01S00542000</t>
  </si>
  <si>
    <t>US20220179159A1|WO2022125798A1</t>
  </si>
  <si>
    <t>US20190370652 A1 | WO2019236591 A1 | US20200110992 A1 | TW202001694 A | WO2020149953 A1 | US20200242472 A1 | US20200250532 A1 | US20200250533 A1 | US20200250534 A1 | WO2020191217 A1 | TW202029067 A | CA3101026 A1 | AU2019282632 A1 | SG11202011824 PA | CN112424796 A | EP3803710 A1 | TW202103063 A | CN112823359 A | US20210173238 A1 | CN112912900 A | US20210201126 A1 | CN113159304 A | CN113159305 A | CN113159306 A | CN113159307 A | CN113159308 A | JP2021527287 A | CN113496281 A | CN113568470 A | CN113570051 A | US20210341765 A1 | TWI735886 B | EP3912096 A1 | TW202134955 A | US20220004029 A1 | CN113900276 A | WO2022010899 A1 | TWI741533 B | CN114158277 A | US11281972 B2 | TW202147060 A | TW202201165 A | TWI758994 B | TW202209034 A | US20220179159 A1 | WO2022125798 A1 | US20220215257 A1 | TW202215118 A | IL279181 A | TW202217377 A | TW202221577 A | TWI767877 B | US11507818 B2 | EP3942482 A1 | KR20210052430 A</t>
  </si>
  <si>
    <t>I-000226329430</t>
  </si>
  <si>
    <t>30 months from 2020-12-09 (priority date)</t>
  </si>
  <si>
    <t>https://patentscout.innography.com/share/AKHNCsff-cQTKaQe7CqXUw%3D%3D</t>
  </si>
  <si>
    <t>2022-07-27-EP: THE EPO HAS BEEN INFORMED BY WIPO THAT EP WAS DESIGNATED IN THIS APPLICATION</t>
  </si>
  <si>
    <t>https://patentscout.innography.com/share/AKHNCsff-cQTKaQe7CqXUw%3D%3D/download</t>
  </si>
  <si>
    <t>https://v3.espacenet.com/publicationDetails/biblio?CC=WO&amp;NR=2022125798A1&amp;KC=A1&amp;FT=D&amp;date=20220616&amp;DB=EPODOC&amp;locale=</t>
  </si>
  <si>
    <t>WO2021228958 A1</t>
  </si>
  <si>
    <t>US20220179159 A1</t>
  </si>
  <si>
    <t>US20190370652 A1</t>
  </si>
  <si>
    <t>2.  1.  A method for assembling a photonic computing system, the method comprising: attaching a photonic source to a support structure, the photonic source comprising: a first laser die on a substrate and configured to provide a first optical beam, and a second laser die on the substrate and configured to provide a second optical beam; attaching a photonic integrated circuit to the support structure, the photonic integrated circuit comprising: a first waveguide and a first coupler coupled to the first waveguide, and a second waveguide and a second coupler coupled to the second waveguide; and attaching a plurality of beam-shaping optical elements to the support structure, the substrate, or the photonic integrated circuit, the attaching comprising: providing, using the first laser die, the first optical beam, aligning a first beam-shaping optical element during attachment so that the first optical beam is coupled to the first coupler, and providing, using the second laser die, the second optical beam, aligning a second beam-shaping optical element during attachment so that the second optical beam is coupled to the second coupler.</t>
  </si>
  <si>
    <t>24.  23.  An apparatus comprising: a photonic source attached to a support structure, the photonic source comprising: a first laser die on a first substrate in which the first laser die is configured to provide a first optical beam, and a second laser die on the first substrate or a second substrate in which the second laser die is configured to provide a second optical beam; a photonic integrated circuit attached to the support structure, the photonic integrated circuit comprising: a first waveguide and a first coupler coupled to the first waveguide, and a second waveguide and a second coupler coupled to the second waveguide; and a plurality of beam-shaping optical elements attached to at least one of the support structure, the first substrate, respective first and second substrates, or the photonic integrated circuit, wherein the beam-shaping optical elements comprise: a first beam-shaping optical element configured to couple the first optical beam to the first coupler on the photonic integrated circuit, and a second beam-shaping optical element configured to couple the second optical beam to the second coupler on the photonic integrated circuit.</t>
  </si>
  <si>
    <t>46.  45.  An apparatus comprising: a photonic source attached to a support structure, the photonic source comprising: a laser module that is configured to provide an optical beam; a photonic integrated circuit attached to the support structure, the photonic integrated circuit comprising: a first waveguide and a coupler coupled to the first waveguide, and optoelectronic circuitry that is in optical communication with the first waveguide and is configured to receive one or more electrical signals from one or more control electrodes; at least one beam-shaping optical element attached to the support structure, the photonic source, or the photonic integrated circuit, in which the beam-shaping optical element is configured to couple the optical beam to the coupler on the photonic integrated circuit; a digital electronic module in electrical contact with the photonic integrated circuit; and an electrical integrated circuit in electrical contact with the photonic integrated circuit, and comprising analog circuitry and digital circuitry, wherein the analog circuitry is in electrical contact with at least one of the one or more control electrodes; wherein the photonic integrated circuit further comprises a plurality of metal paths through at least a portion of the photonic integrated circuit configured to provide electrical contact between the digital circuitry in the electrical integrated circuit and the digital electronic module.</t>
  </si>
  <si>
    <t>51.  50.  A method for assembling a photonic computing system, the method comprising: attaching a plurality of laser dies to a first support structure, in which each laser die is configured to generate an optical beam; attaching a photonic integrated circuit to the first support structure, in which the photonic integrated circuit comprises: a plurality of optical waveguides configured to carry optical signals, wherein a set of multiple input values are encoded on respective optical signals carried by the optical waveguides, a plurality of couplers, each coupler coupled to a corresponding waveguide, an optical network comprising a plurality of optical splitters or directional couplers, and an array of optoelectronic circuitry sections, in which each optoelectronic circuitry section is configured to receive an optical wave from one of the output ports of the optical network, and each optoelectronic circuitry section includes: at least one photodetector configured to detect at least one optical wave from an operation; and at least one conductive path integrated in the photonic integrated circuit electrically coupled to the photodetector and electrically coupled to an electrical output port; and attaching a plurality of beam-shaping optical elements to the first support structure or the photonic integrated circuit, in which each beam-shaping optical element is associated with a laser die and a coupler, and the attaching comprises aligning each beam-shaping optical element to cause the optical beam generated by the corresponding laser die to be coupled, through the corresponding coupler, to the corresponding waveguide.</t>
  </si>
  <si>
    <t>60.  59.  An apparatus comprising: a first support structure; a plurality of laser dies that are attached to the first support structure, in which each laser die is configured to generate an optical beam; a photonic integrated circuit that is attached to the first support structure, in which the photonic integrated circuit comprises: a plurality of optical waveguides configured to carry optical signals, wherein a set of multiple input values are encoded on respective optical signals carried by the optical waveguides, a plurality of couplers, each coupler coupled to a corresponding waveguide, an optical network comprising a plurality of optical splitters or directional couplers, and an array of optoelectronic circuitry sections, in which each optoelectronic circuitry section is configured to receive an optical wave from one of the output ports of the optical network, and each optoelectronic circuitry section includes: at least one photodetector configured to detect at least one optical wave from an operation; and at least one conductive path integrated in the photonic integrated circuit electrically coupled to the photodetector and electrically coupled to an electrical output port; and a plurality of beam-shaping optical elements that are attached to the support structure or the photonic integrated circuit, in which each beam-shaping optical element is associated with a laser die and a coupler, and is configured to cause the optical beam generated by the corresponding laser die to be coupled, through the corresponding coupler, to the corresponding waveguide.</t>
  </si>
  <si>
    <t>69.  68.  A method for assembling a photonic computing system, the method comprising: attaching a plurality of laser dies to a first support structure, in which each laser die is configured to generate a laser beam; attaching a photonic integrated circuit to the first support structure, in which the photonic integrated circuit comprises: a plurality of input waveguides configured to carry input optical signals, a plurality of couplers, each coupler coupled to a corresponding input waveguide, a plurality of operation photodetectors, in which each operation photodetector is configured to detect an optical signal derived from an operation based on at least one input optical signal, a plurality of feedback photodetectors, in which each feedback photodetector is associated with an input waveguide, a plurality of tap waveguides, in which each tap waveguide is associated with an input waveguide and is configured to provide a portion of the optical power coupled into the input waveguide to the feedback photodetector; attaching a plurality of beam-shaping optical elements to the first support structure or the photonic integrated circuit, in which each beam-shaping optical element is associated with one of the laser dies and one of the couplers; driving the laser dies to generate laser beams sequentially or in parallel; using each feedback photodetector to generate a feedback signal to indicate a coupling efficiency of the laser beam into the corresponding waveguide through the corresponding coupler; and aligning each beam-shaping optical element to cause the laser beam generated by the corresponding laser die to be coupled through the corresponding coupler to the corresponding input waveguide in the photonic integrated circuit, in which the aligning of the beam-shaping optical element is based on the feedback signal generated by the corresponding feedback photodetector.</t>
  </si>
  <si>
    <t>73.  72.  An apparatus comprising: a photonic integrated circuit attached to a support structure by an array of first conducting structures on a first surface of the photonic integrated circuit, the photonic integrated circuit comprising: a waveguide and a coupler configured to couple an optical beam into the waveguide; and an electronic integrated circuit attached to the photonic integrated circuit by an arrangement of second conducting structures that are coupled to the photonic integrated circuit and to the electronic integrated circuit, where the arrangement of second conducting structures provide electrical communication between the electronic integrated circuit and the photonic integrated circuit; wherein the photonic integrated circuit further comprises: a plurality of conductive vias through at least a portion of the photonic integrated circuit extending from the arrangement of second conducting structures to the first surface of the photonic integrated circuit.</t>
  </si>
  <si>
    <t>93.  92.  An apparatus comprising: an electronic integrated circuit; and a photonic integrated circuit comprising: a plurality of conductive vias through at least a portion of the photonic integrated circuit, in which the conductive vias extend to a first surface of the photonic integrated circuit facing away from the electronic integrated circuit, and the conductive vias are configured to provide electrical conductive paths for the electronic integrated circuit to a component coupled to the first surface of the photonic integrated circuit.</t>
  </si>
  <si>
    <t>102.  101.  A method for fabricating an integrated optoelectronic device, the method comprising: forming a plurality of layers of a photonic integrated circuit, including forming a plurality of redistribution layers (RDLs) on a layer at which ends of conductive vias are exposed; forming a plurality of layers of an electronic integrated circuit, including forming a plurality of redistribution layers (RDLs) on a layer at which electronic signals are provided; and bonding together a plurality of the RDLs of the photonic integrated circuit and a plurality of the RDLs of the electronic integrated circuit.</t>
  </si>
  <si>
    <t>JP2002140546 A | KR101699884 B1 | KR20210149514 A</t>
  </si>
  <si>
    <t>2042-04-08</t>
  </si>
  <si>
    <t>Disclosed is a method of providing a vehicle maintenance service performed by a server. A method of providing a vehicle maintenance service according to an embodiment includes the steps of determining a vehicle requiring vehicle maintenance service based on detailed information on owned vehicle registered in a platform reserving a vehicle maintenance service for the determined vehicle and When the provision of the vehicle maintenance service is completed based on the reservation the method may include databaseizing information related to service provision and reservation.</t>
  </si>
  <si>
    <t>Method and apparatus for providing vehicle maintenance service</t>
  </si>
  <si>
    <t>Ss Mobilty</t>
  </si>
  <si>
    <t>Ss Mobile, LLC</t>
  </si>
  <si>
    <t>SS Mobile, LLC</t>
  </si>
  <si>
    <t>KR20220043911A</t>
  </si>
  <si>
    <t>A method of providing a vehicle maintenance service performed by a server, the method comprising: determining a vehicle in need of a vehicle maintenance service based on detailed information of owned vehicle registered in a platform;reserving a vehicle maintenance service for the determined vehicle;and when the provision of the vehicle maintenance service is completed based on the reservation, databaseizing information related to service provision and reservation, further comprising the step of brokering a contract for the reserved service, the brokering The step mediates a contract between the provider of the service and the consumer of the service based on the escrow service, and when the performance of the service according to the reservation meets a predetermined condition, information about other companies registered in the platform The method further comprising the step of providing to the consumer terminal, and brokering a contract for providing the service according to the reservation through a company determined according to the selection of the consumer terminal among the other companies, and determining the vehicle requiring the vehicle maintenance service The step of performing the first information on the driving distance of the vehicle, the second information on the speed change trend during driving,The method further comprising the step of determining a vehicle requiring the vehicle maintenance service by using a previously learned artificial neural network using vehicle driving information including third information on the temperature change trend of the driving process as learning data, wherein the determined vehicle Further comprising the step of providing an ERP system capable of performing rental contract management, tax management and settlement management for When the performance of the service according to the service satisfies a predetermined condition, information on other companies registered on the platform is provided to the consumer terminal, and the service according to the reservation is provided through a company determined according to the selection of the consumer terminal among the other companies. The step of brokering a contract to be provided may include: providing a function for receiving legal advice in relation to contract infidelity when the service according to the contract satisfies a predetermined condition in response to contract non-faithful performance;and providing information on other suppliers capable of providing the service according to the contract within a predetermined distance from the vehicle of the consumer of the contract to the consumer of the contract, wherein the maintenance service is applied to the individual vehicle of the consumer and providing a metaverse function provided by simulating in a virtual space, and determining whether the service is completed within the contract period based on whether the provider's terminal uploads the service performance result according to the contract within the contract period However, if the service is not completed within the contract period, deducting the evaluation score of the provider and granting a delay prize. The method further comprises the step of providing the result of monitoring the location information of the vehicle, which is the subject of the contract, to the consumer terminal, and further comprising the step of supporting the execution of the contract through the consumables purchased by the operating entity of the server over a predetermined value, and ,The determining of the vehicle in need of the vehicle maintenance service may include inputting learning data including the first information to the third information as input and predicting whether the wear level of the tire meets a predetermined threshold value. 1 Utilizing an artificial neural network to determine a vehicle requiring tire replacement, and learning data for learning the first artificial neural network, speed change among the second information of the learning data has a positive value and has a size of a predetermined threshold A first attention is given to a region exceeding The region to which the first attention is given is given a higher weight than the region to which the first attention is given, and each of the region to which the first attention is given and the region to which the second attention is given has an additional weight proportional to the magnitude of the speed change. granted,The determining of the vehicle in need of the vehicle maintenance service may include inputting learning data including the first information to the third information as input and using a second artificial neural network that has been previously learned to predict whether the vehicle needs to be inspected. , determines a vehicle that needs to be inspected, and the second artificial neural network learns based on the learning data in which the labeling of the first to third information corresponding to a time before a predetermined period of time from the time when the failure of the vehicle occurs The step of determining the vehicle requiring the vehicle maintenance service may include inputting learning data including the first information to the third information, current time information, and local information as input to predict whether the vehicle needs to be inspected in advance. A method of providing a vehicle maintenance service for determining a vehicle requiring inspection by using the learned third artificial neural network.</t>
  </si>
  <si>
    <t>A method of providing a vehicle maintenance service performed by a server, the method comprising: determining a vehicle in need of a vehicle maintenance service based on detailed information of owned vehicle registered in a platform;reserving a vehicle maintenance service for the determined vehicle;
and when the provision of the vehicle maintenance service is completed based on the reservation, databaseizing information related to service provision and reservation, further comprising the step of brokering a contract for the reserved service, the brokering The step mediates a contract between the provider of the service and the consumer of the service based on the escrow service, and when the performance of the service according to the reservation meets a predetermined condition, information about other companies registered in the platform The method further comprising the step of providing to the consumer terminal, and brokering a contract for providing the service according to the reservation through a company determined according to the selection of the consumer terminal among the other companies, and determining the vehicle requiring the vehicle maintenance service The step of performing the first information on the driving distance of the vehicle, the second information on the speed change trend during driving,
The method further comprising the step of determining a vehicle requiring the vehicle maintenance service by using a previously learned artificial neural network using vehicle driving information including third information on the temperature change trend of the driving process as learning data, wherein the determined vehicle Further comprising the step of providing an ERP system capable of performing rental contract management, tax management and settlement management for When the performance of the service according to the service satisfies a predetermined condition, information on other companies registered on the platform is provided to the consumer terminal, and the service according to the reservation is provided through a company determined according to the selection of the consumer terminal among the other companies. The step of brokering a contract to be provided may include: providing a function for receiving legal advice in relation to contract infidelity when the service according to the contract satisfies a predetermined condition in response to contract non-faithful performance;
and providing information on other suppliers capable of providing the service according to the contract within a predetermined distance from the vehicle of the consumer of the contract to the consumer of the contract, wherein the maintenance service is applied to the individual vehicle of the consumer and providing a metaverse function provided by simulating in a virtual space, and determining whether the service is completed within the contract period based on whether the provider's terminal uploads the service performance result according to the contract within the contract period However, if the service is not completed within the contract period, deducting the evaluation score of the provider and granting a delay prize. The method further comprises the step of providing the result of monitoring the location information of the vehicle, which is the subject of the contract, to the consumer terminal, and further comprising the step of supporting the execution of the contract through the consumables purchased by the operating entity of the server over a predetermined value, and ,
The determining of the vehicle in need of the vehicle maintenance service may include inputting learning data including the first information to the third information as input and predicting whether the wear level of the tire meets a predetermined threshold value. 1 Utilizing an artificial neural network to determine a vehicle requiring tire replacement, and learning data for learning the first artificial neural network, speed change among the second information of the learning data has a positive value and has a size of a predetermined threshold A first attention is given to a region exceeding The region to which the first attention is given is given a higher weight than the region to which the first attention is given, and each of the region to which the first attention is given and the region to which the second attention is given has an additional weight proportional to the magnitude of the speed change. granted,
The determining of the vehicle in need of the vehicle maintenance service may include inputting learning data including the first information to the third information as input and using a second artificial neural network that has been previously learned to predict whether the vehicle needs to be inspected. , determines a vehicle that needs to be inspected, and the second artificial neural network learns based on the learning data in which the labeling of the first to third information corresponding to a time before a predetermined period of time from the time when the failure of the vehicle occurs The step of determining the vehicle requiring the vehicle maintenance service may include inputting learning data including the first information to the third information, current time information, and local information as input to predict whether the vehicle needs to be inspected in advance. A method of providing a vehicle maintenance service for determining a vehicle requiring inspection by using the learned third artificial neural network.
delete
delete
delete
A server for providing a vehicle maintenance service providing method, comprising: a memory;
and a processor, wherein the processor is configured to determine a vehicle requiring vehicle maintenance service based on detailed information of owned vehicle registered in the platform, reserve a vehicle maintenance service for the determined vehicle, and based on the reservation When the vehicle maintenance service provision is completed, information related to service provision and reservation is made into a database, and the processor mediates a contract between a provider of the service and a consumer of the service based on the escrow service, the processor, An artificial neural network learned in advance by using the vehicle driving information including first information on the driving distance of the vehicle, second information on the speed change trend during driving, and third information on the temperature change trend in the driving process as learning data. to determine a vehicle requiring the vehicle maintenance service using the processor,
Determines a vehicle requiring tire replacement by using a first artificial neural network trained in advance to predict whether or not a wear level of a tire meets a predetermined threshold by inputting learning data including the first information to the third information In the training data for learning the first artificial neural network, a first attention is given to an area in which the speed change has a positive value among the second information of the training data and the size exceeds a predetermined threshold, and the learning data Among the second information of data, a region in which the speed change has a negative value and the size exceeds a predetermined threshold is given a second attention, and the region to which the second attention is given is compared with the region to which the first attention is given. A higher weight is given, the region to which the first attention is given and the region to which the second attention is given are each given an additional weight proportional to the magnitude of the speed change, and the processor,
The second artificial neural network determines the vehicle that needs to be inspected by using the second artificial neural network learned in advance to predict whether the vehicle needs to be inspected by inputting learning data including the first information to the third information as an input. is learned based on the learning data in which the labeling of the first information to the third information corresponding to a time before a predetermined period from the time when the vehicle malfunction occurs, and the processor, the first information to the third information Information, current time information, and learning data including local information are used as inputs to determine whether a vehicle needs to be inspected by using a third artificial neural network trained in advance to predict whether the vehicle needs to be inspected, and the processor is configured to: Provides an ERP system that can perform rental contract management, tax management and settlement management for vehicles, and provides vehicle maintenance service provider information by region,
If the service according to the contract satisfies a predetermined condition related to the performance of contract infidelity, it provides a function to receive legal advice in relation to the performance of contract infidelity, and within a predetermined distance from the vehicle of the consumer of the contract Provides information on other suppliers that can provide services according to the contract to the consumer of the contract, provides a metaverse function that simulates the results of applying the maintenance service to the individual vehicle of the consumer in a virtual space, and provides a Based on whether the terminal uploads the service performance result according to the contract within the contract period, it is determined whether the service is completed within the contract period, but if the service is not completed within the contract period, the evaluation score of the provider is deducted, In order to grant a delay prize and prevent subcontracting in the process of providing the service according to the contract, the result of monitoring the location information of the vehicle, which is the subject of the contract, is provided to the consumer terminal,
A server that supports the execution of the contract through consumables purchased by the operating entity of the server in excess of a predetermined value.</t>
  </si>
  <si>
    <t>Kwak, Won Jun</t>
  </si>
  <si>
    <t>G06Q0050300000</t>
  </si>
  <si>
    <t>G06Q05030000</t>
  </si>
  <si>
    <t>G06Q05030000 | G06N00308000 | G06Q01002000 | G06Q03008000</t>
  </si>
  <si>
    <t>KR102419833B1</t>
  </si>
  <si>
    <t>KR102419833 B1</t>
  </si>
  <si>
    <t>I-000227796315</t>
  </si>
  <si>
    <t>20 years from 2022-04-08 (file date)</t>
  </si>
  <si>
    <t>https://patentscout.innography.com/share/1-rP_XI7mpO51IgBD7ZCCQ%3D%3D</t>
  </si>
  <si>
    <t>2022-07-07-WRITTEN DECISION TO GRANT|2022-07-07-DECISION TO GRANT OR REGISTRATION OF PATENT RIGHT</t>
  </si>
  <si>
    <t>https://patentscout.innography.com/share/1-rP_XI7mpO51IgBD7ZCCQ%3D%3D/download</t>
  </si>
  <si>
    <t>https://v3.espacenet.com/publicationDetails/biblio?CC=KR&amp;NR=102419833B1&amp;KC=B1&amp;FT=D&amp;date=20220712&amp;DB=EPODOC&amp;locale=</t>
  </si>
  <si>
    <t>KR20102419833 B1</t>
  </si>
  <si>
    <t>1.  A method of providing a vehicle maintenance service performed by a server, the method comprising: determining a vehicle in need of a vehicle maintenance service based on detailed information of owned vehicle registered in a platform;reserving a vehicle maintenance service for the determined vehicle;
and when the provision of the vehicle maintenance service is completed based on the reservation, databaseizing information related to service provision and reservation, further comprising the step of brokering a contract for the reserved service, the brokering The step mediates a contract between the provider of the service and the consumer of the service based on the escrow service, and when the performance of the service according to the reservation meets a predetermined condition, information about other companies registered in the platform The method further comprising the step of providing to the consumer terminal, and brokering a contract for providing the service according to the reservation through a company determined according to the selection of the consumer terminal among the other companies, and determining the vehicle requiring the vehicle maintenance service The step of performing the first information on the driving distance of the vehicle, the second information on the speed change trend during driving,
The method further comprising the step of determining a vehicle requiring the vehicle maintenance service by using a previously learned artificial neural network using vehicle driving information including third information on the temperature change trend of the driving process as learning data, wherein the determined vehicle Further comprising the step of providing an ERP system capable of performing rental contract management, tax management and settlement management for When the performance of the service according to the service satisfies a predetermined condition, information on other companies registered on the platform is provided to the consumer terminal, and the service according to the reservation is provided through a company determined according to the selection of the consumer terminal among the other companies. The step of brokering a contract to be provided may include: providing a function for receiving legal advice in relation to contract infidelity when the service according to the contract satisfies a predetermined condition in response to contract non-faithful performance;
and providing information on other suppliers capable of providing the service according to the contract within a predetermined distance from the vehicle of the consumer of the contract to the consumer of the contract, wherein the maintenance service is applied to the individual vehicle of the consumer and providing a metaverse function provided by simulating in a virtual space, and determining whether the service is completed within the contract period based on whether the provider's terminal uploads the service performance result according to the contract within the contract period However, if the service is not completed within the contract period, deducting the evaluation score of the provider and granting a delay prize. The method further comprises the step of providing the result of monitoring the location information of the vehicle, which is the subject of the contract, to the consumer terminal, and further comprising the step of supporting the execution of the contract through the consumables purchased by the operating entity of the server over a predetermined value, and ,
The determining of the vehicle in need of the vehicle maintenance service may include inputting learning data including the first information to the third information as input and predicting whether the wear level of the tire meets a predetermined threshold value. 1 Utilizing an artificial neural network to determine a vehicle requiring tire replacement, and learning data for learning the first artificial neural network, speed change among the second information of the learning data has a positive value and has a size of a predetermined threshold A first attention is given to a region exceeding The region to which the first attention is given is given a higher weight than the region to which the first attention is given, and each of the region to which the first attention is given and the region to which the second attention is given has an additional weight proportional to the magnitude of the speed change. granted,
The determining of the vehicle in need of the vehicle maintenance service may include inputting learning data including the first information to the third information as input and using a second artificial neural network that has been previously learned to predict whether the vehicle needs to be inspected. , determines a vehicle that needs to be inspected, and the second artificial neural network learns based on the learning data in which the labeling of the first to third information corresponding to a time before a predetermined period of time from the time when the failure of the vehicle occurs The step of determining the vehicle requiring the vehicle maintenance service may include inputting learning data including the first information to the third information, current time information, and local information as input to predict whether the vehicle needs to be inspected in advance. A method of providing a vehicle maintenance service for determining a vehicle requiring inspection by using the learned third artificial neural network.</t>
  </si>
  <si>
    <t>5.  A server for providing a vehicle maintenance service providing method, comprising: a memory;
and a processor, wherein the processor is configured to determine a vehicle requiring vehicle maintenance service based on detailed information of owned vehicle registered in the platform, reserve a vehicle maintenance service for the determined vehicle, and based on the reservation When the vehicle maintenance service provision is completed, information related to service provision and reservation is made into a database, and the processor mediates a contract between a provider of the service and a consumer of the service based on the escrow service, the processor, An artificial neural network learned in advance by using the vehicle driving information including first information on the driving distance of the vehicle, second information on the speed change trend during driving, and third information on the temperature change trend in the driving process as learning data. to determine a vehicle requiring the vehicle maintenance service using the processor,
Determines a vehicle requiring tire replacement by using a first artificial neural network trained in advance to predict whether or not a wear level of a tire meets a predetermined threshold by inputting learning data including the first information to the third information In the training data for learning the first artificial neural network, a first attention is given to an area in which the speed change has a positive value among the second information of the training data and the size exceeds a predetermined threshold, and the learning data Among the second information of data, a region in which the speed change has a negative value and the size exceeds a predetermined threshold is given a second attention, and the region to which the second attention is given is compared with the region to which the first attention is given. A higher weight is given, the region to which the first attention is given and the region to which the second attention is given are each given an additional weight proportional to the magnitude of the speed change, and the processor,
The second artificial neural network determines the vehicle that needs to be inspected by using the second artificial neural network learned in advance to predict whether the vehicle needs to be inspected by inputting learning data including the first information to the third information as an input. is learned based on the learning data in which the labeling of the first information to the third information corresponding to a time before a predetermined period from the time when the vehicle malfunction occurs, and the processor, the first information to the third information Information, current time information, and learning data including local information are used as inputs to determine whether a vehicle needs to be inspected by using a third artificial neural network trained in advance to predict whether the vehicle needs to be inspected, and the processor is configured to: Provides an ERP system that can perform rental contract management, tax management and settlement management for vehicles, and provides vehicle maintenance service provider information by region,
If the service according to the contract satisfies a predetermined condition related to the performance of contract infidelity, it provides a function to receive legal advice in relation to the performance of contract infidelity, and within a predetermined distance from the vehicle of the consumer of the contract Provides information on other suppliers that can provide services according to the contract to the consumer of the contract, provides a metaverse function that simulates the results of applying the maintenance service to the individual vehicle of the consumer in a virtual space, and provides a Based on whether the terminal uploads the service performance result according to the contract within the contract period, it is determined whether the service is completed within the contract period, but if the service is not completed within the contract period, the evaluation score of the provider is deducted, In order to grant a delay prize and prevent subcontracting in the process of providing the service according to the contract, the result of monitoring the location information of the vehicle, which is the subject of the contract, is provided to the consumer terminal,
A server that supports the execution of the contract through consumables purchased by the operating entity of the server in excess of a predetermined value.</t>
  </si>
  <si>
    <t>US20090234936 A1 | US20150247980 A1 | US20160216445 A1 | US20160269114 A1 | US20190173577 A1 | US20190379952 A1 | US20200021899 A1 | US20200301084 A1 | US20200343990 A1 | WO2020246375 A1</t>
  </si>
  <si>
    <t>2021-02-03</t>
  </si>
  <si>
    <t>2023-08-03</t>
  </si>
  <si>
    <t>2021-09-23</t>
  </si>
  <si>
    <t>A distributed data processing system includes a first data processing system and a second data processing system. The first data processing system includes a first housing a first data processor and a first optical module that is configured to convert output electrical signals from the first data processor to output optical signals that are provided to a first optical fiber cable. The second data processing system includes a second housing a second data processor and a second optical module that is configured to convert output electrical signals from the second data processor to output optical signals that are provided to a second optical fiber cable. An optical power supply includes at least one laser that is configured to provide a first light source to the first optical module through a first optical link and to provide a second light source to the second optical module through a second optical link.</t>
  </si>
  <si>
    <t>Communication systems having optical power supplies</t>
  </si>
  <si>
    <t>Nubis Communications, Inc.</t>
  </si>
  <si>
    <t>US2022015110W</t>
  </si>
  <si>
    <t>1. A distributed data processing system comprising: a first data processing system comprising a first housing, a first data processor disposed in the first housing, and a first optical module that is configured to convert output electrical signals from the first data processor to output optical signals that are provided to a first optical fiber cable optically coupled to the first data processing system; a second data processing system comprising a second housing, a second data processor disposed in the second housing, and a second optical module that is configured to convert output electrical signals from the second data processor to output optical signals that are provided to a second optical fiber cable optically coupled to the second data processing system, the first and second optical fiber cables are either the same cable or different cables; and an optical power supply comprising at least one laser that is configured to provide a first light source to the first optical module through a first optical link and to provide a second light source to the second optical module through a second optical link, in which at least one of (i) the optical power supply is disposed in the first housing, (ii) the optical power supply is disposed in the second housing, or (iii) the optical power supply is positioned outside of the first housing and outside of the second housing.</t>
  </si>
  <si>
    <t>1. A distributed data processing system comprising: a first data processing system comprising a first housing, a first data processor disposed in the first housing, and a first optical module that is configured to convert output electrical signals from the first data processor to output optical signals that are provided to a first optical fiber cable optically coupled to the first data processing system; a second data processing system comprising a second housing, a second data processor disposed in the second housing, and a second optical module that is configured to convert output electrical signals from the second data processor to output optical signals that are provided to a second optical fiber cable optically coupled to the second data processing system, the first and second optical fiber cables are either the same cable or different cables; and an optical power supply comprising at least one laser that is configured to provide a first light source to the first optical module through a first optical link and to provide a second light source to the second optical module through a second optical link, in which at least one of (i) the optical power supply is disposed in the first housing, (ii) the optical power supply is disposed in the second housing, or (iii) the optical power supply is positioned outside of the first housing and outside of the second housing.
2. The distributed data processing system of claim 1 in which the first data processing system comprises a data server, the data server comprises a circuit board on which the first data processor is mounted, the circuit board is positioned relative to the housing such that a first surface of the circuit board is at an angle relative to a bottom panel of the housing, and the angle is in a range from 80° to 90°.
3. The distributed data processing system of claim 2 in which the circuit board is positioned parallel to the front panel. 
4. The distributed data processing system of claim 1 in which the first data processor comprises at least a network switch, a central processor unit, a graphics processor unit, a tensor processing unit, a neural network processor, an artificial intelligence accelerator, a digital signal processor, a microcontroller, a storage device, or an application specific integrated circuit (ASIC).
5. The distributed data processing system of claim 1 in which the first optical module comprises a first photonic integrated circuit, a first optical connector part that is configured to be removably coupled to a second optical connector part that is attached to the first optical fiber cable, and a connector that is connected to the first optical link to receive supply light from the optical power supply.
6. The distributed data processing system of claim 5 in which the first optical module comprises an optical splitter that splits the supply light, and provides a first portion of the supply light to a receiver that is configured to extract synchronization information.
7. The distributed data processing system of claim 5 in which the optical module comprises an optical splitter that splits the supply light, and provides a first portion of the supply light to an optoelectronic modulator that is configured to modulate onto the first portion of the supply light the output electrical signals from the first data processor to generate modulated light, in which the modulated light is output through the first optical fiber cable.
8. The distributed data processing system of any of claims 1 to 7 in which the first optical module is configured to convert optical signals received from the first optical fiber cable or another optical fiber cable to electrical signals that are provided to the first data processor; the first optical module is configured to generate a plurality of first serial electrical signals based on the received optical signals, in which each first serial electrical signal is generated based on one of the channels of first optical signals; wherein the first optical module comprises: a first serializers/deserializers module comprising multiple serializer units and deserializer units, the first serializers/deserializers module is configured to generate a plurality of sets of first parallel electrical signals based on the plurality of first serial electrical signals, and condition the electrical signals, and each set of first parallel electrical signals is generated based on a corresponding first serial electrical signal; and a second serializers/deserializers module comprising multiple serializer units and deserializer units, in which the second serializers/deserializers module is configured to generate a plurality of second serial electrical signals based on the plurality of sets of first parallel electrical signals, and each second serial electrical signal is generated based on a corresponding set of first parallel electrical signals.
9. The distributed data processing system of any of claims 1 to 7 in which the first optical module is electrically coupled to the first circuit board using electrical contacts that comprise at least one of spring-loaded elements, compression interposers, or land-grid arrays.
10. The distributed data processing system of any of claims 1 to 7 in which the first optical link comprises a polarization-maintaining optical fiber.
11. The distributed data processing system of any of claims 1 to 7 in which the first optical module comprises a first co-packaged optical module that comprises a first photonic integrated circuit co-packaged with a first electronic integrated circuit.
12. The distributed data processing system of claim 11 in which the first co-packaged optical module comprises a first substrate, and the first photonic integrated circuit and the first electronic integrated circuit are mounted on the first substrate.
13. The distributed data processing system of claim 11 in which the first electronic integrated circuit is mounted on a surface of the first photonic integrated circuit. 
14. The distributed data processing system of claim 11 in which the first co-packaged optical module comprises a first pluggable module that is configured to be removably connected to a socket of the first data processing system, the socket is electrically coupled to the first data processor, and the first pluggable module comprises the first photonic integrated circuit and the first electronic integrated circuit.
15. The distributed data processing system of claim 11 in which the second optical module comprises a second co-packaged optical module that comprises a second photonic integrated circuit co-packaged with a second electronic integrated circuit.
16. The distributed data processing system of claim 15 in which the second co-packaged optical module comprises a second substrate, and the second photonic integrated circuit and second the electronic integrated circuit are mounted on the second substrate.
17. The distributed data processing system of claim 15 in which the second electronic integrated circuit is mounted on a surface of the second photonic integrated circuit.
18. The distributed data processing system of claim 15 in which the second co-packaged optical module comprises a second pluggable module that is configured to be removably connected to a socket of the second data processing system, the socket is electrically coupled to the second data processor, and the second pluggable module comprises the second photonic integrated circuit and the second electronic integrated circuit.
19. A system comprising: an optical cable assembly comprising: a first optical fiber connector comprising an optical power supply fiber port, a transmitter fiber port, and a receiver fiber port; a second optical fiber connector comprising an optical power supply fiber port, a transmitter fiber port, and a receiver fiber port; and a third optical fiber connector comprising a first optical power supply fiber port and a second optical power supply port; wherein the optical power supply fiber port of the first optical fiber connector is optically coupled to the first optical power supply fiber port of the third optical fiber connector, the optical power supply fiber port of the second optical fiber connector is optically coupled to the second optical power supply fiber port of the third optical fiber connector, the transmitter fiber port of the first optical fiber connector is optically coupled to the receiver fiber port of the second optical fiber connector, and the receiver fiber port of the first optical fiber connector is optically coupled to the transmitter fiber port of the second optical fiber connector.
20. The system of claim 19 wherein the optical cable assembly comprises a first optical fiber optically coupled to the optical power supply fiber port of the first optical fiber connector and the first optical power supply fiber port of the third optical fiber connector.
21. The system of claim 20 wherein the optical cable assembly comprises a second optical fiber optically coupled to the optical power supply fiber port of the second optical fiber connector and the second optical power supply fiber port of the third optical fiber connector.
22. The system of claim 21 wherein the optical cable assembly comprises a third optical fiber optically coupled to the transmitter fiber port of the first optical fiber connector and the receiver fiber port of the second optical fiber connector.
23. The system of claim 22 wherein the optical cable assembly comprises a fourth optical fiber optically coupled to the receiver fiber port of the first optical fiber connector and the transmitter fiber port of the second optical fiber connector.
24. The system of claim 23 wherein the optical cable assembly comprises an optical fiber guide module comprising a first port, a second port, and a third port, wherein the first optical fiber extends through the first and third ports, the second optical fiber extends through the second and third ports, the third optical fiber extends through the first and second ports, and the fourth optical fiber extends through the first and second ports. 
25. The system of claim 24 wherein the first, third, and fourth optical fibers extend from the first port of the optical fiber guide module to the first optical fiber connector.
26. The system of claim 25 wherein the second, third, and fourth optical fibers extend from the second port of the optical fiber guide module to the second optical fiber connector.
27. The system of claim 26 wherein the first and second optical fibers extend from the third port of the optical fiber guide module to the third optical fiber connector.
28. The system of claim 24 wherein the optical fiber guide module is configured to restrict bending of the optical fibers that pass through the optical fiber guide module such that each optical fiber within the optical fiber guide module has a bending radius greater than a predetermined value to prevent excess optical light loss or damage to the optical fiber due to bending.
29. The system of any of claims 19 to 28, comprising a first optical power supply module optically coupled to the third optical fiber connector and configured to provide power supply light to the first optical power supply fiber port and the second optical power supply port.
30. The system of claim 29, comprising a first photonic integrated circuit optically coupled to the first optical fiber connector and configured to receive the power supply light from the first optical power supply module through the optical power supply fiber port of the first optical fiber connector.
31. The system of claim 30 wherein the first photonic integrated circuit is configured to modulate the power supply light to generate a first modulated optical signal, and transmit the first modulated optical signal to the transmitter fiber port of the first optical fiber connector. 
32. The system of claim 31, comprising a second photonic integrated circuit optically coupled to the second optical fiber connector and configured to receive the power supply light from the first optical power supply module through the optical power supply fiber port of the second optical fiber connector.
33. The system of claim 32 wherein the second photonic integrated circuit is configured to modulate the power supply light to generate a second modulated optical signal, and transmit the second modulated optical signal to the transmitter fiber port of the second optical fiber connector.
34. The system of claim 33 wherein the first photonic integrated circuit is configured to, through the receiver fiber port of the first optical fiber connector, receive the second modulated optical signal transmitted from the second photonic integrated circuit.
35. The system of claim 34 wherein the second photonic integrated circuit is configured to, through the receiver fiber port of the second optical fiber connector, receive the first modulated optical signal transmitted from the first photonic integrated circuit.
36. The system of claim 19, comprising a first optical power supply module optically coupled to the third optical fiber connector and configured to provide a first sequence of optical frame templates to the first optical power supply fiber port and a second sequence of optical frame templates to the second optical power supply fiber port.
37. The system of claim 36, comprising a first photonic integrated circuit optically coupled to the first optical fiber connector and configured to receive the first sequence of optical frame templates from the first optical power supply module through the optical power supply fiber port of the first optical fiber connector. 
38. The system of claim 37 wherein the first photonic integrated circuit is configured to modulate the first sequence of optical frame templates to generate a first sequence of loaded optical frames, and transmit the first sequence of loaded optical frames to the transmitter fiber port of the first optical fiber connector.
39. The system of claim 38, comprising a second photonic integrated circuit optically coupled to the second optical fiber connector and configured to receive the second sequence of optical frame templates from the second optical power supply module through the optical power supply fiber port of the second optical fiber connector.
40. The system of claim 38 wherein the second photonic integrated circuit is configured to modulate the second sequence of optical frame templates to generate a second sequence of loaded optical frames, and transmit the second sequence of loaded optical frames to the transmitter fiber port of the second optical fiber connector.
41. The system of claim 40 wherein the first photonic integrated circuit is configured to, through the receiver fiber port of the first optical fiber connector, receive the second sequence of loaded optical frames transmitted from the second photonic integrated circuit.
42. The system of claim 41 wherein the second photonic integrated circuit is configured to, through the receiver fiber port of the second optical fiber connector, receive the first sequence of loaded optical frames transmitted from the first photonic integrated circuit.
43. A system comprising: an optical cable assembly comprising: a first optical fiber connector comprising an optical power supply fiber port, a transmitter fiber port, and a receiver fiber port; a second optical fiber connector comprising an optical power supply fiber port, a transmitter fiber port, and a receiver fiber port; a third optical fiber connector comprising an optical power supply fiber port; and a fourth optical fiber connector comprising an optical power supply port; wherein the optical power supply fiber port of the first optical fiber connector is optically coupled to the optical power supply fiber port of the third optical fiber connector, the optical power supply fiber port of the second optical fiber connector is optically coupled to the optical power supply fiber port of the fourth optical fiber connector, the transmitter fiber port of the first optical fiber connector is optically coupled to the receiver fiber port of the second optical fiber connector, and the receiver fiber port of the first optical fiber connector is optically coupled to the transmitter fiber port of the second optical fiber connector.
44. The system of claim 43 wherein the optical cable assembly comprises a first optical fiber optically coupled to the optical power supply fiber port of the first optical fiber connector and the optical power supply fiber port of the third optical fiber connector.
45. The system of claim 44 wherein the optical cable assembly comprises a second optical fiber optically coupled to the optical power supply fiber port of the second optical fiber connector and the optical power supply fiber port of the fourth optical fiber connector.
46. The system of claim 45 wherein the optical cable assembly comprises a third optical fiber optically coupled to the transmitter fiber port of the first optical fiber connector and the receiver fiber port of the second optical fiber connector.
47. The system of claim 46 wherein the optical cable assembly comprises a fourth optical fiber optically coupled to the receiver fiber port of the first optical fiber connector and the transmitter fiber port of the second optical fiber connector.
48. The system of claim 47 wherein the optical cable assembly comprises a first optical fiber guide module comprising a first port, a second port, and a third port, wherein the first optical fiber extends through the first and third ports of the first optical fiber guide module, the third optical fiber extends through the first and second ports of the first optical fiber guide module, and the fourth optical fiber extends through the first and second ports of the first optical fiber guide module. 
49. The system of claim 48 wherein the optical cable assembly comprises a second optical fiber guide module comprising a first port, a second port, and a third port, wherein the second optical fiber extends through the first and third ports of the second optical fiber guide module, the third optical fiber extends through the first and second ports of the second optical fiber guide module, and the fourth optical fiber extends through the first and second ports of the second optical fiber guide module.
50. The system of claim 49 wherein the first, third, and fourth optical fibers extend from the first port of the first optical fiber guide module to the first optical fiber connector.
51. The system of claim 50 wherein the second, third, and fourth optical fibers extend from the first port of the second optical fiber guide module to the second optical fiber connector.
52. The system of claim 51 wherein the first optical fiber extends from the third port of the first optical fiber guide module to the third optical fiber connector.
53. The system of claim 52 wherein the second optical fiber extends from the third port of the second optical fiber guide module to the fourth optical fiber connector.
54. The system of claim 53 wherein the first optical fiber guide module is configured to restrict bending of the first, third, and fourth optical fibers that pass through the optical fiber guide module such that each optical fiber within the optical fiber guide module has a bending radius greater than a predetermined value to prevent excess optical light loss or damage to the optical fiber due to bending.
55. The system of claim 54 wherein the second optical fiber guide module is configured to restrict bending of the second, third, and fourth optical fibers that pass through the optical fiber guide module such that each optical fiber within the optical fiber guide module has a bending radius greater than a predetermined value to prevent excess optical light loss or damage to the optical fiber due to bending. 
56. The system of any of claims 43 to 55, comprising a first optical power supply module optically coupled to the third optical fiber connector and configured to provide power supply light to the optical power supply fiber port of the third optical fiber connector.
57. The system of claim 56, comprising a first photonic integrated circuit optically coupled to the first optical fiber connector and configured to receive the power supply light from the first optical power supply module through the optical power supply fiber port of the first optical fiber connector.
58. The system of claim 57 wherein the first photonic integrated circuit is configured to modulate the power supply light to generate a first modulated optical signal, and transmit the first modulated optical signal to the transmitter fiber port of the first optical fiber connector.
59. The system of claim 58, comprising a second optical power supply module optically coupled to the fourth optical fiber connector and configured to provide power supply light to the optical power supply fiber port of the fourth optical fiber connector.
60. The system of claim 59, comprising a second photonic integrated circuit optically coupled to the second optical fiber connector and configured to receive the power supply light from the second optical power supply module through the optical power supply fiber port of the second optical fiber connector.
61. The system of claim 60 wherein the second photonic integrated circuit is configured to modulate the power supply light to generate a second modulated optical signal, and transmit the second modulated optical signal to the transmitter fiber port of the second optical fiber connector.
62. The system of claim 61 wherein the first photonic integrated circuit is configured to, through the receiver fiber port of the first optical fiber connector, receive the second modulated optical signal transmitted from the second photonic integrated circuit. 
63. The system of claim 62 wherein the second photonic integrated circuit is configured to, through the receiver fiber port of the second optical fiber connector, receive the first modulated optical signal transmitted from the first photonic integrated circuit.
64. The system of claim 43, comprising a first optical power supply module optically coupled to the third optical fiber connector and configured to provide a first sequence of optical frame templates to the optical power supply fiber port of the third optical fiber connector.
65. The system of claim 64, comprising a first photonic integrated circuit optically coupled to the first optical fiber connector and configured to receive the first sequence of optical frame templates from the first optical power supply module through the optical power supply fiber port of the first optical fiber connector.
66. The system of claim 65 wherein the first photonic integrated circuit is configured to modulate the first sequence of optical frame templates to generate a first sequence of loaded optical frames, and transmit the first sequence of loaded optical frames to the transmitter fiber port of the first optical fiber connector.
67. The system of claim 66, comprising a second optical power supply module optically coupled to the fourth optical fiber connector and configured to provide a second sequence of optical frame templates to the optical power supply fiber port of the fourth optical fiber connector.
68. The system of claim 67, comprising a second photonic integrated circuit optically coupled to the second optical fiber connector and configured to receive the second sequence of optical frame templates from the second optical power supply module through the optical power supply fiber port of the second optical fiber connector. 
69. The system of claim 68 wherein the second photonic integrated circuit is configured to modulate the second sequence of optical frame templates to generate a second sequence of loaded optical frames, and transmit the second sequence of loaded optical frames to the transmitter fiber port of the second optical fiber connector.
70. The system of claim 69 wherein the first photonic integrated circuit is configured to, through the receiver fiber port of the first optical fiber connector, receive the second sequence of loaded optical frames transmitted from the second photonic integrated circuit.
71. The system of claim 70 wherein the second photonic integrated circuit is configured to, through the receiver fiber port of the second optical fiber connector, receive the first sequence of loaded optical frames transmitted from the first photonic integrated circuit.
72. A system comprising: an optical cable assembly comprising: a first optical fiber connector comprising at least one optical power supply fiber port, at least one transmitter fiber port, and at least one receiver fiber port; and a second optical fiber connector comprising at least one optical power supply fiber port, at least one transmitter fiber port, and at least one receiver fiber port; wherein each of the at least one transmitter fiber port of the first optical fiber connector is optically coupled to a corresponding receiver fiber port of the second optical fiber connector, and each of the at least one receiver fiber port of the first optical fiber connector is optically coupled to a corresponding transmitter fiber port of the second optical fiber connector.
73. The system of claim 72 wherein each transmitter fiber port in the first optical fiber connector maps to a receiver fiber port in a mirror image of the first optical fiber connector, wherein the mirror image is generated relative to an axis of reflection at an edge of the first optical fiber connector. 
74. The system of claim 73 wherein each receiver fiber port in the first optical fiber connector maps to a transmitter fiber port in the mirror image of the first optical fiber connector, wherein the mirror image is generated relative to the axis of reflection at the edge of the first optical fiber connector.
75. The system of claim 74 wherein each transmitter fiber port in the second optical fiber connector maps to a receiver fiber port in a mirror image of the second optical fiber connector, wherein the mirror image is generated relative to an axis of reflection at an edge of the second optical fiber connector.
76. The system of claim 75 wherein each receiver fiber port in the second optical fiber connector maps to a transmitter fiber port in the mirror image of the second optical fiber connector, wherein the mirror image is generated relative to the axis of reflection at the edge of the second optical fiber connector.
77. The system of claim 72 wherein each optical power supply fiber port in the first optical fiber connector maps to another optical power supply fiber port in a mirror image of the first optical fiber connector, wherein the mirror image is generated relative to an axis of reflection at a main central axis of the first optical fiber connector.
78. The system of claim 77 wherein each optical power supply fiber port in the second optical fiber connector maps to another optical power supply fiber port in a mirror image of the second optical fiber connector, wherein the mirror image is generated relative to an axis of reflection at a main central axis of the second optical fiber connector.
79. The system of any of claims 72 to 78, comprising a first communication transponder that comprises an optical fiber connector that comprises at least one optical power supply fiber port, at least one transmitter fiber port, and at least one receiver fiber port; wherein the first optical fiber connector of the optical cable assembly is compatible with the optical fiber connector of the first communication transponder in which the at least one optical power supply fiber port of the first optical fiber connector of the optical cable assembly maps to the at least one optical power supply fiber port of the optical fiber connector of the first communication transponder, the at least one transmitter fiber port of the first optical fiber connector of the optical cable assembly maps to the at least one transmitter fiber port of the optical fiber connector of the first optical transponder, and the at least one receiver fiber port of the first optical fiber connector of the optical cable assembly maps to the at least one receiver fiber port of the optical fiber connector of the first optical transponder.
80. The system of claim 79, comprising a second optical transponder that comprises an optical fiber connector that comprises at least one optical power supply fiber port, at least one transmitter fiber port, and at least one receiver fiber port; wherein the second optical fiber connector of the optical cable assembly is compatible with the optical fiber connector of the second optical transponder in which the at least one optical power supply fiber port of the second optical fiber connector of the optical cable assembly maps to the at least one optical power supply fiber port of the optical fiber connector of the second optical transponder, the at least one transmitter fiber port of the second optical fiber connector of the optical cable assembly maps to the at least one transmitter fiber port of the optical fiber connector of the second optical transponder, and the at least one receiver fiber port of the second optical fiber connector of the optical cable assembly maps to the at least one receiver fiber port of the optical fiber connector of the second optical transponder.
81. The system of claim 80 wherein the first optical fiber connector of the optical cable assembly is also compatible with the optical fiber connector of the second optical transponder in which the at least one optical power supply fiber port of the first optical fiber connector of the optical cable assembly maps to the at least one optical power supply fiber port of the optical fiber connector of the second optical transponder, the at least one transmitter fiber port of the first optical fiber connector of the optical cable assembly maps to the at least one transmitter fiber port of the optical fiber connector of the second optical transponder, and the at least one receiver fiber port of the first optical fiber connector of the optical cable assembly maps to the at least one receiver fiber port of the optical fiber connector of the second optical transponder.
82. The system of any of claims 72 to 78 in which each optical power supply fiber port in the first optical fiber connector is optically coupled to a corresponding optical power supply fiber port in the second optical fiber connector.
83. A system comprising: an optical cable assembly comprising: a first fiber coupler comprising a first port, a second port, and a third port; a plurality of optical signal fibers that extend through the first port and the second port of the first fiber coupler; at least one first optical power supply fiber that extends through the first port and the third port of the first fiber coupler; a second fiber coupler comprising a first port, a second port, and a third port; wherein the plurality of optical signal fibers extend from the second port of the first fiber coupler to the second port of the second fiber coupler, and the plurality of optical signal fibers extend through the second port and the first port of the second fiber coupler; at least one second optical power supply fiber that extends through the first port and the third port of the second fiber coupler; wherein the at least one first optical power supply fiber is configured to transmit first optical power supply light that propagates in a direction from the third port to the first port of the first fiber coupler; and wherein the at least one second optical power supply fiber is configured to transmit second optical power supply light that propagates in a direction from the third port to the first port of the second fiber coupler. 
84. The system of claim 83 wherein at least one of the optical signal fibers is configured to transmit a first modulated optical signal that propagates in a direction from the second port of the first fiber coupler to the second port of the second fiber coupler; and wherein at least one of the optical signal fibers is configured to transmit a second modulated optical signal that propagates in a direction from the second port of the second fiber coupler to the second port of the first fiber coupler.
85. The system of claim 83 wherein the optical cable assembly comprises: *** truncated to 32500 characters ***</t>
  </si>
  <si>
    <t>Winzer, Peter Johannes</t>
  </si>
  <si>
    <t>H04B0010807000</t>
  </si>
  <si>
    <t>H04B0010807000 | G02B0006421600 | G02B0006430000 | G02B0006424600 | G02B0006429300 | G02B0006427800 | G02B0006424900 | G02B0006428000 | H04B0010801000</t>
  </si>
  <si>
    <t>G02B00626000</t>
  </si>
  <si>
    <t>G02B00626000 | G02B00638000 | G02B00642000 | H02J05030000 | H04B01000000 | H04B01050800</t>
  </si>
  <si>
    <t>WO2022169970A1|US20220263586A1</t>
  </si>
  <si>
    <t>US20210294052 A1 | WO2021188648 A1 | US20210376950 A1 | US11194109 B2 | WO2021247521 A1 | US20220091351 A1 | WO2022061160 A1 | TW202146952 A | US20220159860 A1 | WO2022109349 A1 | US20220244465 A1 | WO2022169970 A1 | US20220263586 A1 | US20220291461 A1 | WO2022192724 A1 | US20220337322 A1 | WO2022221850 A1 | WO2022226528 A1 | CA3176056 A1 | TW202232157 A | TW202232163 A | WO2022076539 A1 | US20220264759 A1 | US20220404566 A1 | WO2022251855 A1 | WO2022266376 A1</t>
  </si>
  <si>
    <t>I-000228444851</t>
  </si>
  <si>
    <t>30 months from 2021-02-03 (priority date)</t>
  </si>
  <si>
    <t>https://patentscout.innography.com/share/igcqlFdn9hIlM0hWZRYGeg%3D%3D</t>
  </si>
  <si>
    <t>2022-09-21-EP: THE EPO HAS BEEN INFORMED BY WIPO THAT EP WAS DESIGNATED IN THIS APPLICATION</t>
  </si>
  <si>
    <t>https://patentscout.innography.com/share/igcqlFdn9hIlM0hWZRYGeg%3D%3D/download</t>
  </si>
  <si>
    <t>https://v3.espacenet.com/publicationDetails/biblio?CC=WO&amp;NR=2022169970A1&amp;KC=A1&amp;FT=D&amp;date=20220811&amp;DB=EPODOC&amp;locale=</t>
  </si>
  <si>
    <t>WO2022169970 A1</t>
  </si>
  <si>
    <t>US20210294052 A1</t>
  </si>
  <si>
    <t>Fish &amp; Richardson</t>
  </si>
  <si>
    <t>2.  1.  A distributed data processing system comprising: a first data processing system comprising a first housing, a first data processor disposed in the first housing, and a first optical module that is configured to convert output electrical signals from the first data processor to output optical signals that are provided to a first optical fiber cable optically coupled to the first data processing system; a second data processing system comprising a second housing, a second data processor disposed in the second housing, and a second optical module that is configured to convert output electrical signals from the second data processor to output optical signals that are provided to a second optical fiber cable optically coupled to the second data processing system, the first and second optical fiber cables are either the same cable or different cables; and an optical power supply comprising at least one laser that is configured to provide a first light source to the first optical module through a first optical link and to provide a second light source to the second optical module through a second optical link, in which at least one of (i) the optical power supply is disposed in the first housing, (ii) the optical power supply is disposed in the second housing, or (iii) the optical power supply is positioned outside of the first housing and outside of the second housing.</t>
  </si>
  <si>
    <t>20.  19.  A system comprising: an optical cable assembly comprising: a first optical fiber connector comprising an optical power supply fiber port, a transmitter fiber port, and a receiver fiber port; a second optical fiber connector comprising an optical power supply fiber port, a transmitter fiber port, and a receiver fiber port; and a third optical fiber connector comprising a first optical power supply fiber port and a second optical power supply port; wherein the optical power supply fiber port of the first optical fiber connector is optically coupled to the first optical power supply fiber port of the third optical fiber connector, the optical power supply fiber port of the second optical fiber connector is optically coupled to the second optical power supply fiber port of the third optical fiber connector, the transmitter fiber port of the first optical fiber connector is optically coupled to the receiver fiber port of the second optical fiber connector, and the receiver fiber port of the first optical fiber connector is optically coupled to the transmitter fiber port of the second optical fiber connector.</t>
  </si>
  <si>
    <t>44.  43.  A system comprising: an optical cable assembly comprising: a first optical fiber connector comprising an optical power supply fiber port, a transmitter fiber port, and a receiver fiber port; a second optical fiber connector comprising an optical power supply fiber port, a transmitter fiber port, and a receiver fiber port; a third optical fiber connector comprising an optical power supply fiber port; and a fourth optical fiber connector comprising an optical power supply port; wherein the optical power supply fiber port of the first optical fiber connector is optically coupled to the optical power supply fiber port of the third optical fiber connector, the optical power supply fiber port of the second optical fiber connector is optically coupled to the optical power supply fiber port of the fourth optical fiber connector, the transmitter fiber port of the first optical fiber connector is optically coupled to the receiver fiber port of the second optical fiber connector, and the receiver fiber port of the first optical fiber connector is optically coupled to the transmitter fiber port of the second optical fiber connector.</t>
  </si>
  <si>
    <t>73.  72.  A system comprising: an optical cable assembly comprising: a first optical fiber connector comprising at least one optical power supply fiber port, at least one transmitter fiber port, and at least one receiver fiber port; and a second optical fiber connector comprising at least one optical power supply fiber port, at least one transmitter fiber port, and at least one receiver fiber port; wherein each of the at least one transmitter fiber port of the first optical fiber connector is optically coupled to a corresponding receiver fiber port of the second optical fiber connector, and each of the at least one receiver fiber port of the first optical fiber connector is optically coupled to a corresponding transmitter fiber port of the second optical fiber connector.</t>
  </si>
  <si>
    <t>84.  83.  A system comprising: an optical cable assembly comprising: a first fiber coupler comprising a first port, a second port, and a third port; a plurality of optical signal fibers that extend through the first port and the second port of the first fiber coupler; at least one first optical power supply fiber that extends through the first port and the third port of the first fiber coupler; a second fiber coupler comprising a first port, a second port, and a third port; wherein the plurality of optical signal fibers extend from the second port of the first fiber coupler to the second port of the second fiber coupler, and the plurality of optical signal fibers extend through the second port and the first port of the second fiber coupler; at least one second optical power supply fiber that extends through the first port and the third port of the second fiber coupler; wherein the at least one first optical power supply fiber is configured to transmit first optical power supply light that propagates in a direction from the third port to the first port of the first fiber coupler; and wherein the at least one second optical power supply fiber is configured to transmit second optical power supply light that propagates in a direction from the third port to the first port of the second fiber coupler.</t>
  </si>
  <si>
    <t>99.  98.  A system comprising: an optical cable assembly comprising: a first fiber coupler comprising a first port, a second port, and a third port; a plurality of first optical fibers that extend through the first port and the second port of the first fiber coupler; at least one second optical fiber that extends through the first port and the third port of the first fiber coupler; and a first fiber connector optically coupled to the first optical fibers and the at least one second optical fiber that extend from the first port of the first fiber coupler, wherein the first fiber connector comprises at least one optical power supply fiber port, at least one transmitter fiber port, and at least one receiver fiber port, the at least one optical power supply fiber port is optically coupled to the at least one second optical fiber, the at least one transmitter fiber port is optically coupled to at least one of the first optical fibers, and the at least one receiver fiber port is optically coupled to at least one of the first optical fibers.</t>
  </si>
  <si>
    <t>108.  107.  An apparatus comprising: an optical cable assembly comprising: a cable bend restriction module comprising a first port, a second port, and a third port; a plurality of first optical fibers that extend through the first port and the second port, wherein each first optical fiber comprises a fiber core and a cladding, the first optical fibers extend outward from the first port in a first direction, the first optical fibers extend outward from the second port in a second direction that is at a first angle relative to the first direction, the cable bend restriction module limits bending of the first optical fibers such that the first angle is in a range from 30 to 180 degrees; at least one second optical fiber that extends through the first port and the third port, wherein each of the at least one second optical fiber comprises a fiber core and a cladding, the at least one second optical fiber extends outward from the first port in the first direction, the at least one second optical fiber extends outward from the third port in a third direction that is at a second angle relative to the first direction, the cable bend restriction module limits bending of the at least one second optical fiber such that the second angle is in a range from 30 to 180 degrees; at least one third optical fiber that extends through the second port and the third port, wherein each of the at least one third optical fiber comprises a fiber core and a cladding, the at least one third optical fiber extends outward from the second port in the second direction, the at least one third optical fiber extends outward from the third port in the third direction at a third angle relative to the second direction, the cable bend restriction module limits bending of the at least one third optical fiber such that the third angle is in a range from 30 to 180 degrees; a first common sheath that surrounds the plurality of first optical fibers and the at least one second optical fiber that extend outward from the first port; a second common sheath that surrounds the plurality of first optical fibers and the at least one third optical fiber that extend outward from the second port; and a third common sheath that surrounds the at least one second optical fiber and the at least one third optical fiber that extend outward from the third port.</t>
  </si>
  <si>
    <t>112.  111.  An apparatus comprising: an optical cable assembly comprising: a first fiber coupler comprising a first port, a second port, and a third port; a plurality of first optical fibers that extend through the first port and the second port, wherein each optical fiber comprises a fiber core and a cladding, the first optical fibers extend outward from the first port in a first direction, the first optical fibers extend outward from the second port in a second direction that is at a first angle relative to the first direction, the first fiber coupler is configured to limit bending of the first optical fibers such that the first angle is in a range from 30 to 180 degrees; at least one second optical fiber that extends through the first port and the third port, wherein each of the at least one second optical fiber comprises a fiber core and a cladding, the at least one second optical fiber extends outward from the first port in the first direction, the at least one second optical fiber extends outward from the third port in a third direction that is at a second angle relative to the first direction, the first cable bend restriction module limits bending of the at least one second optical fiber such that the second angle is in a range from 30 to 180 degrees; a first common sheath that surrounds the plurality of first optical fibers and the at least one second optical fiber that extend outward from the first port; a second common sheath that surrounds the plurality of first optical fibers that extend outward from the second port; a third common sheath that surrounds the at least one second optical fiber that extends outward from the third port; a second cable bend restriction module comprising a first port, a second port, and a third port; the plurality of first optical fibers extend through the first port and the second port of the second cable bend restriction module, the first optical fibers extend outward from the first port in a fourth direction, the first optical fibers extend outward from the second port in a fifth direction that is at a third angle relative to the fourth direction, the second cable bend restriction module limits bending of the first optical fibers such that the third angle is in a range from 30 to 180 degrees; at least one third optical fiber that extends through the first port and the third port of the second cable bend restriction module, wherein each of the at least one third optical fiber comprises a fiber core and a cladding, the at least one third optical fiber extends outward from the first port of the second cable bend restriction module in the fourth direction, the at least one second optical fiber extends outward from the third port of the second cable bend restriction module in a sixth direction that is at a fourth angle relative to the fourth direction, the second cable bend restriction module limits bending of the at least one third optical fiber such that the fourth angle is in a range from 30 to 180 degrees; a fourth common sheath that surrounds the plurality of first optical fibers and the at least one third optical fiber that extend outward from the first port of the second cable bend restriction module; and a fifth common sheath that surrounds the at least one third optical fiber that extends outward from the third port of the second cable bend restriction module.</t>
  </si>
  <si>
    <t>119.  118.  An apparatus comprising: an optical cable assembly comprising: a cable bend restriction module comprising a first port, a second port, and a third port; a plurality of first optical fibers that extend through the first port and the second port, wherein each first optical fiber comprises a fiber core and a cladding, the first optical fibers extend outward from the first port in a first direction, the first optical fibers extend outward from the second port in a second direction that is at a first angle relative to the first direction, the cable bend restriction module limits bending of the first optical fibers such that the first angle is in a range from 30 to 180 degrees; at least one second optical fiber that extends through the first port and the third port, wherein each of the at least one second optical fiber comprises a fiber core and a cladding, the at least one second optical fiber extends outward from the first port in the first direction, the at least one second optical fiber extends outward from the third port in a third direction that is at a second angle relative to the first direction, the cable bend restriction module limits bending of the at least one second optical fiber such that the second angle is in a range from 30 to 180 degrees; at least one third optical fiber that extends through the second port and the third port, wherein each of the at least one third optical fiber comprises a fiber core and a cladding, the at least one third optical fiber extends outward from the second port in the second direction, the at least one third optical fiber extends outward from the third port in the third direction at a third angle relative to the second direction, the cable bend restriction module limits bending of the at least one third optical fiber such that the third angle is in a range from 30 to 180 degrees; a first common sheath that surrounds the plurality of first optical fibers and the at least one second optical fiber that extend outward from the first port; a second common sheath that surrounds the plurality of first optical fibers and the at least one third optical fiber that extend outward from the second port; and a third common sheath that surrounds the at least one second optical fiber and the at least one third optical fiber that extend outward from the third port.</t>
  </si>
  <si>
    <t>123.  122.  An apparatus comprising: a photonic integrated circuit configured to convert input optical signals to input electrical signals that are provided to a data processor, and convert output electrical signals from the data processor to output optical signals; a fiber array connector optically coupled to the photonic integrated circuit, in which the fiber array connector comprises one or more optical power supply fiber ports, transmitter fiber ports, and receiver fiber ports, the one or more optical power supply fiber ports are configured to receive optical power supply light from one or more external optical fibers and provide the optical power supply light to the photonic integrated circuit, the transmitter fiber ports are configured to transmit output optical signals to external optical fibers, and the receiver fiber ports are configured to receive input optical signals from external optical fibers; wherein the one or more power supply fiber ports, the transmitter fiber ports, and the receiver fiber ports are arranged in the fiber array connector according to a port map configured such that when mirroring the port map to generate a mirror image of the port map and replacing each transmitter port with a receiver port as well as replacing each receiver port with a transmitter port in the mirror image, locations of the one or more power supply fiber ports, the transmitter fiber ports, and the receiver ports in the mirror image are the same as locations of the one or more power supply fiber ports, the transmitter fiber ports, and the receiver ports in the port map; wherein the mirroring is performed with respect to a reflection axis at an edge of the fiber array connector.</t>
  </si>
  <si>
    <t>135.  134.  An apparatus comprising: an optical cable assembly comprising a first optical fiber connector, in which the first optical fiber connector comprises one or more optical power supply fiber ports, a plurality of transmitter fiber ports, and a plurality of receiver fiber ports; wherein the one or more power supply fiber ports, the transmitter fiber ports, and the receiver fiber ports are arranged in the optical fiber connector according to a port map configured such that when mirroring the port map to generate a mirror image of the port map and replacing each transmitter port with a receiver port as well as replacing each receiver port with a transmitter port in the mirror image, locations of the one or more power supply fiber ports, the transmitter fiber ports, and the receiver ports in the mirror image are the same as locations of the one or more power supply fiber ports, the transmitter fiber ports, and the receiver ports in the port map; wherein the mirroring is performed with respect to a reflection axis at an edge of the fiber array connector.</t>
  </si>
  <si>
    <t>148.  147.  An apparatus comprising: an optical cable assembly comprising a first optical fiber connector, in which the first optical fiber connector comprises one or more optical power supply fiber ports, a plurality of transmitter fiber ports, and a plurality of receiver fiber ports; wherein the first optical fiber connector is transmitter port-receiver port pairwise symmetric and power supply port symmetric with respect to a center axis of the first optical fiber connector.</t>
  </si>
  <si>
    <t>162.  161.  An apparatus comprising: an optical cable assembly comprising a first optical fiber connector, in which the first optical fiber connector comprises one or more optical power supply fiber ports, a plurality of transmitter fiber ports, and a plurality of receiver fiber ports; wherein the power supply, transmitter, and receiver fiber ports are arranged in the first optical fiber connector according to a port map that is invariant against a 180 -degree rotation.</t>
  </si>
  <si>
    <t>169.  168.  A method of processing data, the method comprising: transmitting, through a first optical link, first optical power supply light from an optical power supply to a first optical module of a first data processing system, in which the first data processing system includes a first housing, and the first data processor is disposed in the first housing; at the first optical module, modulating the first optical power supply light based on electrical output signals provided by the first data processor to generate first optical output signals; providing the first optical output signals to a first optical fiber cable optically coupled to the first data processing system; transmitting, through a second optical link, second optical power supply light from the optical power supply to a second optical module of a second data processing system, in which the second data processing system includes a second housing, and the second data processor is disposed in the second housing; at the second optical module, modulating the second optical power supply light based on electrical output signals provided by the second data processor to generate second optical output signals; providing the second optical output signals to a second optical fiber cable optically coupled to the second data processing system, in which the first and second optical fiber cables are either the same cable or different cables; and wherein at least one of (i) the optical power supply is disposed in the first housing, (ii) the optical power supply is disposed in the second housing, or (iii) the optical power supply is positioned outside of the first housing and outside of the second housing.</t>
  </si>
  <si>
    <t>170.  169.  A method comprising: transmitting, through optical cable assemblies, optical power supply light from an external optical power supply to a plurality of racks of rackmount devices to enable optical communication among the rackmount devices, and hosting the optical power supply in an enclosure that is separate from at least one of the racks, and maintaining a thermal environment of the optical power supply that is independent of the at least one of the racks.</t>
  </si>
  <si>
    <t>171.  170.  A method comprising: transmitting, through optical cable assemblies, optical power supply light from an external optical power supply to a plurality of racks of rackmount devices to enable optical communication among the rackmount devices, and synchronizing optical processing at the rackmount devices based on control signals embedded in the optical power supply light.</t>
  </si>
  <si>
    <t>172.  171.  A system comprising : an optical cable assembly comprising: a first optical fiber connector comprising an optical power supply fiber port, a transmitter fiber port, and a receiver fiber port; a second optical fiber connector comprising an optical power supply fiber port, a transmitter fiber port, and a receiver fiber port; and a third optical fiber connector comprising optical power supply fiber ports, transmitter fiber ports, and receiver fiber ports; wherein the optical power supply fiber ports of the first and second optical fiber connectors are optically coupled to the optical power supply fiber ports of the third optical fiber connector, the transmitter fiber ports of the first and second optical fiber connectors are optically coupled to the transmitter fiber ports of the third optical fiber connector, and the receiver fiber ports of the first and second optical fiber connectors are optically coupled to the receiver fiber ports of the third optical fiber connector.</t>
  </si>
  <si>
    <t>182.  181.  A system comprising : a data processing apparatus; a first storage device; a second storage device; an optical power supply module; an optical cable assembly comprising: a first optical fiber connector comprising an optical power supply fiber port, a transmitter fiber port, and a receiver fiber port; a second optical fiber connector comprising an optical power supply fiber port, a transmitter fiber port, and a receiver fiber port; and a third optical fiber connector comprising optical power supply fiber ports, transmitter fiber ports, and receiver fiber ports; wherein the optical power supply fiber ports of the first and second optical fiber connectors are optically coupled to the optical power supply fiber ports of the third optical fiber connector, the transmitter fiber ports of the first and second optical fiber connectors are optically coupled to the transmitter fiber ports of the third optical fiber connector, and the receiver fiber ports of the first and second optical fiber connectors are optically coupled to the receiver fiber ports of the third optical fiber connector; wherein the data processing apparatus comprises a third optical module that is optically coupled to the transmitter fiber ports and the receiver fiber ports of the third optical fiber connector; wherein the first storage device comprises a first optical module that is optically coupled to the first optical fiber connector; wherein the second storage device comprises a second optical module that is optically coupled to the second optical fiber connector; wherein the optical power supply module is optically coupled to the optical power supply fiber ports of the third optical fiber connector and configured to provide power supply light to the first optical module and the second optical module.</t>
  </si>
  <si>
    <t>195.  194.  A system comprising: an optical cable assembly comprising: a wavelength division multiplexing (WDM) translator comprising a first interface and a second interface; a first group of optical fibers optically coupled to the first interface of the WDM translator, in which the first group of optical fibers are optically coupled to a first group of servers; a second group of optical fibers optically coupled to the second interface of the WDM translator, in which the second group of optical fibers are optically coupled to a second group of servers, the first group of servers are configured to transmit and receive WDM signals having multiple wavelengths, the second group of servers are configured to transmit and receive WDM signals having multiple wavelengths; and a third group of optical fibers optically coupled to an optical power supply, in which the third group of optical fibers are configured to transmit power supply light from the optical power supply to the first group of servers and the second group of servers; wherein the WDM translator is configured to shuffle the WDM signals from the first group of servers and the WDM signals from the second group of servers to enable each server in the first group to communicate with multiple servers in the second group, and enable each server in the second group to communicate with multiple servers in the first group.</t>
  </si>
  <si>
    <t>2022-09-09</t>
  </si>
  <si>
    <t>The invention claims a 3 D virtual digital social social method and system. The invention forms virtual image generated by user and consistent with the current image by the three-dimensional imaging terminal device and uses the virtual image to perform social communication in the virtual social scene at the same time confirming the emotion information of the current user according to the voice information of the user in the virtual social process adjusting the emotion level of the 3 D virtual digital person at the same time adjusting the expression information and the limb action information of the 3 D virtual digital person making other people of the virtual social scene feel more real and adopts the 3 D virtual digital person will not infringe privacy at the same time because it does not need the transmission of high definition video data the requirement of bandwidth is low which is more beneficial for the popularization of the metaverse in the current stage.</t>
  </si>
  <si>
    <t>A 3 d virtual digital social social method and system</t>
  </si>
  <si>
    <t>social|virtual digital|D virtual</t>
  </si>
  <si>
    <t>Hangzhou Youlianshidai Technology Co., Ltd.</t>
  </si>
  <si>
    <t>HANGZHOU YOULIANSHIDAI TECHNOLOGY CO., LTD.</t>
  </si>
  <si>
    <t>CN202210641062A</t>
  </si>
  <si>
    <t>1. A 3 D virtual digital social social method, wherein it comprises: interacting with the three-dimensional imaging terminal device of the user according to the social request of the user, and generating a three-dimensional virtual digital person corresponding to the user, the image of the three-dimensional virtual digital person comprises a user face human body, garment, the user face face characteristic information and expression information corresponding to different emotion levels, the human body comprises limb information and the limb action information corresponding to different emotion levels, the image of the three-dimensional virtual digital person is the virtual image generated by the user in real time and consistent with the current image by using the three-dimensional imaging terminal device; using the virtual social system to set virtual social scene, the virtual social system comprises a plurality of virtual social scene type, and virtual social scene corresponding to the virtual social scene, introducing the 3 D virtual digital human into the virtual social scene for virtual social, wherein according to the voice information of the current user in the virtual social process to confirm the emotion information of the current user, adjusting the emotion level of the 3 D virtual digital person, and adjusting the expression information and the limb action information of the 3 D virtual digital .</t>
  </si>
  <si>
    <t>1. A 3 D virtual digital social social method, wherein it comprises: interacting with the three-dimensional imaging terminal device of the user according to the social request of the user, and generating a three-dimensional virtual digital person corresponding to the user, the image of the three-dimensional virtual digital person comprises a user face human body, garment, the user face face characteristic information and expression information corresponding to different emotion levels, the human body comprises limb information and the limb action information corresponding to different emotion levels, the image of the three-dimensional virtual digital person is the virtual image generated by the user in real time and consistent with the current image by using the three-dimensional imaging terminal device; using the virtual social system to set virtual social scene, the virtual social system comprises a plurality of virtual social scene type, and virtual social scene corresponding to the virtual social scene, introducing the 3 D virtual digital human into the virtual social scene for virtual social, wherein according to the voice information of the current user in the virtual social process to confirm the emotion information of the current user, adjusting the emotion level of the 3 D virtual digital person, and adjusting the expression information and the limb action information of the 3 D virtual digital .2. The method according to claim 1, wherein the third virtual digital human social system is a human social network. according to the voice information of the current user in the virtual social process to confirm the emotion of the current user comprises: performing emotion analysis to the semantic information and tone information of each sentence of the user, obtaining the voice emotion processing information of each sentence; performing weighting processing to the historical voice emotion processing information and the latest voice emotion processing information of the user, obtaining the emotion information of the current user.3. The method according to claim 2, wherein the first and second virtual digital human social networks are connected to each other. the voice emotion processing information comprises open mood information, fear emotion information, neutral emotion information, anger emotion information, one of the sadness emotion information, each of which has a corresponding parameter value.4. The method according to claim 1, wherein the third virtual digital human social system is a virtual digital human social network. the face information comprises information face the skin information, the expression information is the adjusting information of the information and skin information of the face, the five sense organs and the skin of the face emotion level to adjust, realizing the adjustment of the information face5. The method according to claim 1, wherein the third virtual digital human social system is a human social network. the limb action information is the action information of the user limb, the action of the user limb is adjusted by different emotion levels to realize the adjustment of the user limb action information.6. The method according to claim 1, wherein the third virtual digital human social system is a human social network. setting virtual social scene method by using the virtual social system according to virtual social scene type in the virtual scene image information base; The selection settings are autonomously selected by a user or automatically recommended by the virtual social system.7. The method according to claim 1, wherein the third virtual digital human social system is a human social network. After the image of the three-dimensional virtual digital person is formed by using the three-dimensional imaging terminal device, the method further comprises: adjusting or beautifying the image of the three-dimensional virtual digital person through the virtual social system.8. A 3 D virtual digital human social system, wherein it comprises: 3 D image generating module, according to the social request of the user and the user of the 3 D imaging terminal device for interaction, and generating corresponding to the user of the 3 D virtual digital human, the image of the three-dimensional virtual digital human comprises user face human body, garment, the user face face characteristic information and expression information corresponding to different emotion levels, the human body comprises limb information and the limb action information corresponding to different emotion levels, the image of the three-dimensional virtual digital person is the virtual image generated by the user in real time and consistent with the current image by using the three-dimensional imaging terminal device; a scene selecting module, using the virtual social system to set virtual social scene, the virtual social system comprises a plurality of virtual social scene types, and virtual social scene corresponding to the virtual social scene type; a social module, introducing the three-dimensional virtual digital human into the virtual social scene for virtual social, wherein according to the voice information of the current user in the virtual social process to confirm the emotion information of the current user, adjusting the emotion level of the 3 D virtual digital person, meanwhile, the expression information and the limb action information of the 3 D virtual digital person are adjusted.9. A computer readable storage medium, wherein the computer readable storage medium is stored with a computer program, wherein the computer program is executed by a processor to implement the method steps according to any one of claims 1 to 8 to 3.10. An electronic device, comprising a memory, a processor and a computer program stored in the memory and capable of running on the processor, wherein the processor executes the method according to any one of claims 1 to 1 to 8 when executing the computer program.</t>
  </si>
  <si>
    <t>Jiang, Yahong|Zhang, Zehui|Pan, Yonglu</t>
  </si>
  <si>
    <t>G06T01340000 | G06Q05000000</t>
  </si>
  <si>
    <t>CN115035220A</t>
  </si>
  <si>
    <t>CN115035220 A</t>
  </si>
  <si>
    <t>I-000229659284</t>
  </si>
  <si>
    <t>https://patentscout.innography.com/share/qm2M8AsvkhGQpPRgpBJjMA%3D%3D</t>
  </si>
  <si>
    <t>2022-09-09-PUBLICATION|2022-09-30-ENTRY INTO FORCE OF REQUEST FOR SUBSTANTIVE EXAMINATION</t>
  </si>
  <si>
    <t>https://patentscout.innography.com/share/qm2M8AsvkhGQpPRgpBJjMA%3D%3D/download</t>
  </si>
  <si>
    <t>https://v3.espacenet.com/publicationDetails/biblio?CC=CN&amp;NR=115035220A&amp;KC=A&amp;FT=D&amp;date=20220909&amp;DB=EPODOC&amp;locale=</t>
  </si>
  <si>
    <t>1.  1.  A 3 D virtual digital social social method, wherein it comprises: interacting with the three-dimensional imaging terminal device of the user according to the social request of the user, and generating a three-dimensional virtual digital person corresponding to the user, the image of the three-dimensional virtual digital person comprises a user face human body, garment, the user face face characteristic information and expression information corresponding to different emotion levels, the human body comprises limb information and the limb action information corresponding to different emotion levels, the image of the three-dimensional virtual digital person is the virtual image generated by the user in real time and consistent with the current image by using the three-dimensional imaging terminal device; using the virtual social system to set virtual social scene, the virtual social system comprises a plurality of virtual social scene type, and virtual social scene corresponding to the virtual social scene, introducing the 3 D virtual digital human into the virtual social scene for virtual social, wherein according to the voice information of the current user in the virtual social process to confirm the emotion information of the current user, adjusting the emotion level of the 3 D virtual digital person, and adjusting the expression information and the limb action information of the 3 D virtual digital .</t>
  </si>
  <si>
    <t>8.  8.  A 3 D virtual digital human social system, wherein it comprises: 3 D image generating module, according to the social request of the user and the user of the 3 D imaging terminal device for interaction, and generating corresponding to the user of the 3 D virtual digital human, the image of the three-dimensional virtual digital human comprises user face human body, garment, the user face face characteristic information and expression information corresponding to different emotion levels, the human body comprises limb information and the limb action information corresponding to different emotion levels, the image of the three-dimensional virtual digital person is the virtual image generated by the user in real time and consistent with the current image by using the three-dimensional imaging terminal device; a scene selecting module, using the virtual social system to set virtual social scene, the virtual social system comprises a plurality of virtual social scene types, and virtual social scene corresponding to the virtual social scene type; a social module, introducing the three-dimensional virtual digital human into the virtual social scene for virtual social, wherein according to the voice information of the current user in the virtual social process to confirm the emotion information of the current user, adjusting the emotion level of the 3 D virtual digital person, meanwhile, the expression information and the limb action information of the 3 D virtual digital person are adjusted.</t>
  </si>
  <si>
    <t>The invention claims a micro-application interface digital intelligent system based on universe space the micro-application data access module is used for accessing the universe micro-application data and performing data authority management through the data authority management module registering the application by the application registration module and uniformly managing through the data uniform management module at the same time the data uniform management module is connected with the micro-application interface operation module data performing interface operation through the micro-application interface operation module wherein the micro-application interface operation module is connected with the interface operation optimization module data optimizing the interface through the interface operation optimization module optimizing and personalizing the interface by the interface operation optimization module and the personalized customization module the personalized customization module is connected with the micro application interface display module data and displaying the interface by the micro application interface display module.</t>
  </si>
  <si>
    <t>Micro-application interface mathematical intelligence system based on universe</t>
  </si>
  <si>
    <t>Xi'an Chuangyi Information Technology Co., Ltd.</t>
  </si>
  <si>
    <t>Xiangwei Chuangyi Technology Corp.</t>
  </si>
  <si>
    <t>CN202210516622A</t>
  </si>
  <si>
    <t>1. A micro-application interface digital intelligence system based on universe, comprising a micro-application data access module, wherein the micro-application data access module is used for accessing the universe micro-application data, the micro-application data access module is connected with the data authority management module data, the data authority management module is used for managing the data authority, the data authority management module is connected with the application registration module data, the micro application data access module is connected with the data unified management module data, the data uniform management module is provided with a module arranging algorithm, by the module arrangement algorithm for arranging algorithm calculation, the data uniform management module is connected with the micro-application interface operation module data, the micro-application interface operation module is connected with the micro-application cockpit data, the micro-application interface operation module is connected with the interface operation optimization module data, the interface operation optimization module is used for optimizing the interface operation, the interface operation optimization module is provided with an interface dragging engine, the interface dragging engine is used for controlling the interface dragging, the interface operation optimizing module is connected with the digital management module data, the interface operation optimization module and the personalized customization module data connection, the personalized customization module and the micro-application interface display module data connection, the personalized customization module and the micro-application interface display module are uniformly connected with the digital intelligent working table data, the digital intelligent management is performed by the digital intelligent working table.</t>
  </si>
  <si>
    <t>1. A micro-application interface digital intelligence system based on universe, comprising a micro-application data access module, wherein the micro-application data access module is used for accessing the universe micro-application data, the micro-application data access module is connected with the data authority management module data, the data authority management module is used for managing the data authority, the data authority management module is connected with the application registration module data, the micro application data access module is connected with the data unified management module data, the data uniform management module is provided with a module arranging algorithm, by the module arrangement algorithm for arranging algorithm calculation, the data uniform management module is connected with the micro-application interface operation module data, the micro-application interface operation module is connected with the micro-application cockpit data, the micro-application interface operation module is connected with the interface operation optimization module data, the interface operation optimization module is used for optimizing the interface operation, the interface operation optimization module is provided with an interface dragging engine, the interface dragging engine is used for controlling the interface dragging, the interface operation optimizing module is connected with the digital management module data, the interface operation optimization module and the personalized customization module data connection, the personalized customization module and the micro-application interface display module data connection, the personalized customization module and the micro-application interface display module are uniformly connected with the digital intelligent working table data, the digital intelligent management is performed by the digital intelligent working table.2. The microapplication interface digital intelligence system based on universe according to claim 1, wherein the micro-application data access module comprises a micro-application data interface unit and a micro-application data transmission unit, the micro-application data interface unit is connected with the micro-application data transmission unit data, the micro-application data interface unit is used for data access, the micro-application data transmission unit is used for micro-application data transmission.3. The microapplication interface digital intelligence system based on universe according to claim 1, wherein the data authority management module comprises a data authority verification unit and a data authority authorization unit, the data authority verification unit is connected with the data authority authorization unit data, the data authority verification unit is used for authority verification management and the data authority authorization unit is used for authority of data management authority.4. The microapplication interface digital intelligence system based on universe according to claim 1, wherein the application registration module comprises an application personal registration unit and an application legal person registration unit, the application personal registration unit is used for personal registration, the application legal person registration unit is used for applying the registration of the legal person.5. The microapplication interface digital intelligence system based on universe according to claim 1, wherein the data uniform management module comprises an administrator management unit and a data fusion management unit, and the administrator management unit is connected with the data fusion management unit in data.6. The micro-application interface digital intelligence system based on universe according to claim 1, wherein the micro-application interface operation module comprises a micro-application interface control panel unit and a micro-application interface setting unit, the micro-application interface control panel unit is connected with the micro-application interface setting unit data.7. The micro-application interface digitization system based on metaverse according to claim 1, wherein the interface operation optimization module comprises an interface operation personality optimization unit and an interface operation setting optimization unit, the interface operation personality optimization unit and the interface operation setting optimization unit are connected with each other by data. .8. The microapplication interface digital intelligence system based on universe according to claim 1, wherein the personalized customization module comprises a personalized theme setting unit and a personalized interface display unit, wherein the personalized theme setting unit is connected with the personalized interface display unit.9. The micro-application interface digital intelligent system based on universe according to claim 1, wherein the micro-application interface display module comprises a micro-application interface display unit and a micro-application interface adjusting unit, the micro-application interface display display unit and the micro-application interface adjusting unit data are connected.10. The microapplication interface digitization system based on metaverse according to claim 1, further comprising a universe micro-application data feedback unit for feeding back the meta-universe micro-application data.</t>
  </si>
  <si>
    <t>Chen, Mingxia</t>
  </si>
  <si>
    <t>G06F0009000000</t>
  </si>
  <si>
    <t>G06F00838000</t>
  </si>
  <si>
    <t>G06F00838000 | G06F00945100</t>
  </si>
  <si>
    <t>CN115016788A</t>
  </si>
  <si>
    <t>CN115016788 A</t>
  </si>
  <si>
    <t>I-000229668807</t>
  </si>
  <si>
    <t>https://patentscout.innography.com/share/Bg9ZUuZbVfajflOJUdNing%3D%3D</t>
  </si>
  <si>
    <t>2022-09-06-PUBLICATION</t>
  </si>
  <si>
    <t>https://patentscout.innography.com/share/Bg9ZUuZbVfajflOJUdNing%3D%3D/download</t>
  </si>
  <si>
    <t>https://v3.espacenet.com/publicationDetails/biblio?CC=CN&amp;NR=115016788A&amp;KC=A&amp;FT=D&amp;date=20220906&amp;DB=EPODOC&amp;locale=</t>
  </si>
  <si>
    <t>1.  1.  A micro-application interface digital intelligence system based on universe, comprising a micro-application data access module, wherein the micro-application data access module is used for accessing the universe micro-application data, the micro-application data access module is connected with the data authority management module data, the data authority management module is used for managing the data authority, the data authority management module is connected with the application registration module data, the micro application data access module is connected with the data unified management module data, the data uniform management module is provided with a module arranging algorithm, by the module arrangement algorithm for arranging algorithm calculation, the data uniform management module is connected with the micro-application interface operation module data, the micro-application interface operation module is connected with the micro-application cockpit data, the micro-application interface operation module is connected with the interface operation optimization module data, the interface operation optimization module is used for optimizing the interface operation, the interface operation optimization module is provided with an interface dragging engine, the interface dragging engine is used for controlling the interface dragging, the interface operation optimizing module is connected with the digital management module data, the interface operation optimization module and the personalized customization module data connection, the personalized customization module and the micro-application interface display module data connection, the personalized customization module and the micro-application interface display module are uniformly connected with the digital intelligent working table data, the digital intelligent management is performed by the digital intelligent working table.</t>
  </si>
  <si>
    <t>2022-11-17</t>
  </si>
  <si>
    <t>System and Method for organising big-data and extracting workstream parameters to expedite digital transformations which method employs analytics solution that predicts and mitigates digital programme transformation risks using human-centred interventions around skills team composition leadership communication and collaboration comprising: providing a cloud based hosting and analytical Al platform; connecting users and users operating programs via secure means to the platform; authenticating users and workstreams; parsing structured and unstructured data from the users operating programs; extracting from the users operating programs sequence volume and intensity of tasks to determine optimum fulfilment profiles; performing analytics to prescribe risk mitigating actions and determining risk profile; clustering and sequencing tasks relative to defined risk profile; predicting gaps and flagging emerging risks continuously during the lifecycle of the programs; compiling and presenting metric and graphical representations to mitigate risk; and presenting restructured workstreams.</t>
  </si>
  <si>
    <t>AU2022202849A</t>
  </si>
  <si>
    <t>1. A computer based method for organising big-data and extracting workstreamparameters to expedite digital transformations, which method employs analytics5 solution that predicts and mitigates digital programme transformation risks usinghuman-centred interventions around skills, team composition, leadership,communication and collaboration, comprising:providing a cloud based hosting and analytical Al platform;connecting users and users operating programs via secure means to the10 platform;authenticating users and workstreams;parsing structured and unstructured data from the users operating programs;extracting from the users operating programs sequence, volume and intensityof tasks to determine optimum fulfilment profiles;15 performing analytics to prescribe risk mitigating actions and determining riskprofile;clustering and sequencing tasks relative to defined risk profile;predicting gaps and flagging emerging risks continuously during the lifecycle of theprograms;20 compiling and presenting metric and graphical representations to mitigate risk;andpresenting restructured workstreams.</t>
  </si>
  <si>
    <t>1. A computer based method for organising big-data and extracting workstream
parameters to expedite digital transformations, which method employs analytics
5 solution that predicts and mitigates digital programme transformation risks using
human-centred interventions around skills, team composition, leadership,
communication and collaboration, comprising:
providing a cloud based hosting and analytical Al platform;
connecting users and users operating programs via secure means to the
10 platform;
authenticating users and workstreams;
parsing structured and unstructured data from the users operating programs;
extracting from the users operating programs sequence, volume and intensity
of tasks to determine optimum fulfilment profiles;
15 performing analytics to prescribe risk mitigating actions and determining risk
profile;
clustering and sequencing tasks relative to defined risk profile;
predicting gaps and flagging emerging risks continuously during the lifecycle of the
programs;
20 compiling and presenting metric and graphical representations to mitigate risk;
and
presenting restructured workstreams.
2. A method according to claim 1, wherein the data offered is in the form of
25 documents, text, images, video, media files, metadata etc.
3. A method according to claim 2, wherein the parsing of the data extracts
metadata such as subject matter, topics, elements; and tags with keywords, location
and codes of inter-connections.
4. A method according to claim 3, wherein the clustering is arranged with filters
offered from the metadata and selectable by a user.
5. A method according to any preceding claim, further comparing and quantifying
a value of compatibility of said data or data subsections with the users' operating
program sequence.
6. A method according to claim 5, wherein the parsing comprises data from two
or more sources.
7. A method according to any preceding claim, wherein the presenting comprises
a combination of high quantifying a value of subsections from multiples data sources.
8. A method according to any preceding claim, wherein the method is for use in
virtual environments, in online virtual worlds or metaverse.
9. A system for organising big-data and extracting workstream parameters to
15 expedite digital transformations, which method employs analytics solution that
predicts and mitigates digital programme transformation risks using human-centred
interventions around skills, team composition, leadership, communication and
collaboration, comprising the details of the above mentioned method.
10. A non-transitory computer-readable storage medium having stored thereon
computer-readable code, which, when executed by computing apparatus, causes the
computing apparatus to perform the method of claims 1 to 8.</t>
  </si>
  <si>
    <t>AU</t>
  </si>
  <si>
    <t>G06Q01006000 | G06F01610000 | G06F01740000 | G06Q01010000</t>
  </si>
  <si>
    <t>$7802</t>
  </si>
  <si>
    <t>I-000232326731</t>
  </si>
  <si>
    <t>https://patentscout.innography.com/share/l7X71Zu3xMzqBBrZe_nfiw%3D%3D</t>
  </si>
  <si>
    <t>https://patentscout.innography.com/share/l7X71Zu3xMzqBBrZe_nfiw%3D%3D/download</t>
  </si>
  <si>
    <t>https://v3.espacenet.com/publicationDetails/biblio?CC=AU&amp;NR=2022202849A1&amp;KC=A1&amp;FT=D&amp;date=20221117&amp;DB=EPODOC&amp;locale=</t>
  </si>
  <si>
    <t>AU2022202849 A1</t>
  </si>
  <si>
    <t>LESICAR MAYNARD ANDREWS</t>
  </si>
  <si>
    <t>AU Applications</t>
  </si>
  <si>
    <t>1.  CLAIMS:</t>
  </si>
  <si>
    <t>2.  1.  A computer based method for organising big-data and extracting workstream
parameters to expedite digital transformations, which method employs analytics
5 solution that predicts and mitigates digital programme transformation risks using
human-centred interventions around skills, team composition, leadership,
communication and collaboration, comprising:
providing a cloud based hosting and analytical Al platform;
connecting users and users operating programs via secure means to the
10 platform;
authenticating users and workstreams;
parsing structured and unstructured data from the users operating programs;
extracting from the users operating programs sequence, volume and intensity
of tasks to determine optimum fulfilment profiles;
15 performing analytics to prescribe risk mitigating actions and determining risk
profile;
clustering and sequencing tasks relative to defined risk profile;
predicting gaps and flagging emerging risks continuously during the lifecycle of the
programs;
20 compiling and presenting metric and graphical representations to mitigate risk;
and
presenting restructured workstreams.</t>
  </si>
  <si>
    <t>10.  9.  A system for organising big-data and extracting workstream parameters to
15 expedite digital transformations, which method employs analytics solution that
predicts and mitigates digital programme transformation risks using human-centred
interventions around skills, team composition, leadership, communication and
collaboration, comprising the details of the above mentioned method.</t>
  </si>
  <si>
    <t>2022-08-05</t>
  </si>
  <si>
    <t>2042-08-04</t>
  </si>
  <si>
    <t>The invention claims a resource intelligent matching method based on meta-space and a universe system the method can automatically according to the identification information corresponding to the resource requirement end and the meta-space portrait accurately determining the resource needed by the resource requirement end and automatically screening the universe data of the resource providing end capable of providing the resource to the resource demand end or displaying the convenient resource demand end and the resource providing end to perform online visualization interaction through immersive mode in the universe space resource pool not limited to the original entity place and information non-gathering influence and improves the interaction efficiency and accuracy between the resource demand end and the resource providing end so as to facilitate resource demand end efficiently and accurately obtain the needed resource; and by selecting the matched resource providing end which is convenient for resource providing end in the resource pool in the resource requirement end provided by non-standard efficient and accurately converted into a standardized resource which is good for improving the reliability of the resource.</t>
  </si>
  <si>
    <t>Resource intelligent matching method based on meta-space and meta-universe system</t>
  </si>
  <si>
    <t>CN202210939675A</t>
  </si>
  <si>
    <t>1. A resource intelligent matching method based on meta-space, wherein the method is applied to the universe system, the universe system comprises a universe resource end, the method comprises: the universe resource end detecting resource demand end triggering the universe resource requirement, the universe resource requirement comprises identification information corresponding to the resource demand end; the meta-space resource end according to the identification information corresponding to the resource requirement end, determining the meta-space resource pool of the meta-universe resource pool in the meta-universe resource pool corresponding to the meta-universe resource requirement; the universe resource end according to the resource demand end corresponding to the identification information and the trigger corresponding to the universe image, determining the resource demand end needed target resource; the universe resource end selects the target resource providing end matched with the target resource and the universe data of the target resource providing end from all the first resource providing end of the universe resource pool, and executes to output the universe data of the target resource providing end to the trigger, for the trigger to view and perform interactive operation with the target resource providing end; wherein the universe resource pool is stored with a plurality of metaverse image and a plurality of the first resource providing end corresponding to the universe data of the enterprise; the universe data of each of the first resource providing end comprises the data corresponding to the actual scene data of the first resource providing end; The method further comprises: the universe resource end detects at least one resource control end for establishing request triggered by the universe resource pool, establishing request corresponding to each of the resource management end comprises resource control element of the resource control end, the resource control element of the resource control end corresponding to the actual control scene and the actual control scene corresponding to the resource control data; Aiming at any one of the resource management control end: the universe resource end determines the resource control data of the resource control data in each sub-resource management data of the data type and each of the sub-resource control data amount of data; the universe resource end according to the data type of all the sub-resource control data corresponding to the resource management control end, calculating the data type integrity of the resource control end, and according to the data amount of all the sub-resource control data corresponding to the resource management end, calculating the data quantity integrity of the resource control end ; the universe resource end judges whether the data type integrity of the resource control end is greater than or equal to the preset data type integrity threshold value and the data quantity integrity of the resource control end is greater than or equal to the preset data integrity degree; when the judging result is yes, the universe resource end according to the resource control end of each of the sub-resource control data and the resource control data of the data type and data amount, the resource control element of the resource control end and the resource control element of the resource control end corresponding to the actual control scene, establishing the resource management end of the universe resource pool, as the meta-space resource pool of the universe resource end, wherein the universe resource pool of each of the resource control end in the presence of at least one resource providing end of the universe data.</t>
  </si>
  <si>
    <t>1. A resource intelligent matching method based on meta-space, wherein the method is applied to the universe system, the universe system comprises a universe resource end, the method comprises: the universe resource end detecting resource demand end triggering the universe resource requirement, the universe resource requirement comprises identification information corresponding to the resource demand end; the meta-space resource end according to the identification information corresponding to the resource requirement end, determining the meta-space resource pool of the meta-universe resource pool in the meta-universe resource pool corresponding to the meta-universe resource requirement; the universe resource end according to the resource demand end corresponding to the identification information and the trigger corresponding to the universe image, determining the resource demand end needed target resource; the universe resource end selects the target resource providing end matched with the target resource and the universe data of the target resource providing end from all the first resource providing end of the universe resource pool, and executes to output the universe data of the target resource providing end to the trigger, for the trigger to view and perform interactive operation with the target resource providing end; wherein the universe resource pool is stored with a plurality of metaverse image and a plurality of the first resource providing end corresponding to the universe data of the enterprise; the universe data of each of the first resource providing end comprises the data corresponding to the actual scene data of the first resource providing end; The method further comprises: the universe resource end detects at least one resource control end for establishing request triggered by the universe resource pool, establishing request corresponding to each of the resource management end comprises resource control element of the resource control end, the resource control element of the resource control end corresponding to the actual control scene and the actual control scene corresponding to the resource control data; Aiming at any one of the resource management control end: the universe resource end determines the resource control data of the resource control data in each sub-resource management data of the data type and each of the sub-resource control data amount of data; the universe resource end according to the data type of all the sub-resource control data corresponding to the resource management control end, calculating the data type integrity of the resource control end, and according to the data amount of all the sub-resource control data corresponding to the resource management end, calculating the data quantity integrity of the resource control end ; the universe resource end judges whether the data type integrity of the resource control end is greater than or equal to the preset data type integrity threshold value and the data quantity integrity of the resource control end is greater than or equal to the preset data integrity degree; when the judging result is yes, the universe resource end according to the resource control end of each of the sub-resource control data and the resource control data of the data type and data amount, the resource control element of the resource control end and the resource control element of the resource control end corresponding to the actual control scene, establishing the resource management end of the universe resource pool, as the meta-space resource pool of the universe resource end, wherein the universe resource pool of each of the resource control end in the presence of at least one resource providing end of the universe data.2. The resource intelligent matching method based on meta-space according to claim 1, wherein the method further comprises: the meta-space resource end receives at least one second resource providing end sent in the meta-space resource pool for establishing request of the universe data; aiming at any one of the second resource providing end: the universe resource end according to the establishing request of the second resource providing end, determining the resource data of the second resource providing end, the resource data of the second resource providing end comprises identification information corresponding to the second resource providing end and/or resource providing data of the second resource providing end; the universe resource end according to the resource data of the second resource providing end and resource control data of each of the universe resource control end in the universe resource pool in the universe resource pool, from a plurality of the universe resource control end, screening the target universe resource management end matched with the second resource providing end, and sending verification prompt to the target universe resource control end, the verification prompt comprises resource data of the second resource supply end, and the check prompt is used for prompting the target universe resource control end to check the resource data of the second resource supply end, wherein each of the universe resource control end has only the corresponding actual resource control end; when detecting that the resource data check of the second resource providing end is passed by the target element universe resource control end, the element space resource end determines the actual scene data of the second resource providing end, and according to the actual scene data of the second resource providing end and the resource data of the second resource providing end, in the meta-space resource pool, generating the universe data corresponding to the actual scene data of the second resource providing end, all the first resource providing end comprises all the second resource providing end .3. The resource intelligent matching method based on universe according to claim 2, wherein the universe resource end according to the actual scene data of the second resource providing end and the resource data of the second resource providing end, in the universe resource pool, generating unit space data corresponding to the actual scene data of the second resource providing end, comprising: the universe resource end according to the scene function dividing mode, the actual scene data of the second resource providing end is divided into sub-scene, obtaining a plurality of sub-actual scene data, and according to the resource data of the second resource providing end, determining the resource type provided by the second resource providing end; the universe resource end according to the resource type corresponding to the second resource providing end and the function of each of the sub-actual scene data and the sub-actual scene data, establishing a three-dimensional model matched with the sub-actual scene data; the universe resource end determines the colour condition of each of the sub actual scene data, and rendering the three-dimensional model of the sub actual scene data based on the colour condition of each of the sub actual scene data, obtaining the three-dimensional model after rendering, the meta-space resource end according to the resource type provided by the second resource providing end, determining the position of the second resource providing end in the meta-space resource pool, and according to the three-dimensional model corresponding to each of the sub-actual scene data corresponding to the rendering, the second resource providing end corresponding to the position and the resource data of the second resource providing end; generating the universe data corresponding to the actual scene data of the second resource providing end.4. The resource intelligent matching method based on meta-space according to any one of claims 1-3, wherein the target resource comprises multiple seed target resources, each of the sub-target resources is at least provided with a corresponding sub-resource providing end, the target resource providing end comprises all the sub-resource providing ends; and the method further comprises: the universe resource end according to the identification information corresponding to the resource requirement end, determining the resource type of each of the sub-target resource and the requirement ordering of the sub-target resource; the universe resource end according to the resource type and demand ordering of each of the sub-target resource, determining the sub-target resource corresponding to all the sub-resource providing end of the universe data output ordering; wherein the universe resource end executes the universe data of outputting the target resource providing end to the trigger, for the trigger to view and perform interactive operation with the target resource providing end, comprising: the meta-space resource end according to all the sub-target resource corresponding to the output order sequentially executing to the trigger output each of the sub-target resource corresponding to all the sub-resource providing end of the universe data, for the trigger to view and through the resource requirement end and all the sub-resource providing end of the sub-target resource to perform interactive operation, wherein each of the sub-target resource corresponding to the interaction operation comprises the resource requirement end detecting the trigger from the sub-target resource corresponding to all the sub-resource providing end in screening the needed sub-resource providing end and/or control the trigger corresponding to the universe image in the universe resource pool, and screening the needed sub-resource providing terminal from all the sub-resource providing terminals corresponding to the sub-target resource.5. The resource intelligent matching method based on universe according to claim 4, wherein the universe system further comprises the resource requirement end and a plurality of resource providing ends; The method further comprises: the target terminal determines the virtual model of the object to be processed by the resource requirement end and processing data of the article, the target end comprises the meta-space resource end or the resource demand end; when detecting that the trigger from each of the sub-target resource corresponding to all the sub-resource providing end in screening the needed sub-resource providing end, the target end according to all the sub-target resource corresponding to the output order, selecting the first sub-resource providing terminal as the current sub-resource providing terminal from all the needed sub-resource providing terminals, and sending the virtual model of the object to be processed and the processing data of the object to the current sub-resource providing terminal, to trigger the current sub-resource providing end according to the processing data of the article, in the meta-space resource pool, the virtual model of the article executes the resource type matching operation corresponding to the current sub-resource providing end, determining the target virtual model of the article after executing the operation and the target processing data of the article; the target end updates the next sub-resource providing end as the current sub-resource providing end and updates the target virtual model of the article and the target processing data of the article as the virtual model of the article and the processing data of the article according to the output ordering corresponding to all the sub-target resources, and re-executing the virtual model of the processing object needed by the resource requirement end and processing data of the article to the current sub-resource providing end, so as to trigger the current sub-resource providing end according to the processing data of the article, in the meta-space resource pool, performing matching operation of resource type corresponding to the current sub-resource providing end to the virtual model of the article, and determining the operation of the target virtual model of the article after executing the operation and the target processing data of the article, until all the sub-resource providing ends required are performed the matching operation, or, the current sub-resource providing end determines the output order corresponding to all the sub-target resource, and according to the output order corresponding to all the sub-target resource, screening the next sub-resource providing end from all the sub-resource providing end, and sending the target virtual model of the object and the object processing data of the object to the next sub-resource providing end, to trigger the next sub-resource providing end according to the object processing data of the object, in the meta-space resource pool, executing the matching operation of resource type corresponding to the next sub-resource providing end to the target virtual model of the object, and determining the target virtual model of the object after executing the operation and the target processing data of the object, until all the sub-resource providing ends needed are executed the matching operation.6. The resource intelligent matching method based on meta-space according to claim 5, wherein the method further comprises: when all the needed sub-resource providing ends are executed, the matching operation is performed, the last required sub-resource providing end to obtain the target virtual model of the object and the target processing data of the object to all the sub-resource providing end needed by all the sub-resource providing end except the last required sub-resource providing end for the sub-resource providing end updating the sub-resource providing end universe data, and sending to the target end for the trigger to view and/or target storage.7. The method according to claim 1, 2, 3. 5 or 6 based on the resource intelligent matching method of the universe, wherein the universe resource end executes the triggering to output the target resource providing end of the universe data, for the trigger to view and the target resource providing end performs interactive operation, comprising: the universe universe resource end transmits the universe data of the target resource providing end to the resource demand end for the trigger to view and pass through the resource demand end and the universe resource pool of the meta-space resource end, interacting with the target resource providing end; or, the universe resource end in the meta-space resource pool of the universe resource end corresponding to the trigger of the meta-space image display the target resource providing end of the universe data, for the resource requirement end controlling the trigger corresponding to the universe image in the universe resource pool of the universe resource end corresponding to the target resource providing end of the universe image for interaction.8. The resource intelligent matching method based on the meta-space according to claim 7, wherein when the target resource comprises the object resource, the universe data of the target resource providing end further comprises the data of at least one target object matched with the type of the object resource; the resource requirement end controls the trigger corresponding to the universe image of the universe resource pool in the universe resource end and the target resource providing end of the universe image interaction, comprising: the resource requirement end controls the element space image corresponding to the trigger to browse the data of each target object in the universe resource pool of the element space resource end, and from all the target object, screening the needed target object; after selecting the target object needed after finishing selecting, the resource requirement end controls the meta-space portrait corresponding to the trigger to the meta-space portrait of the target resource providing end to send the customized requirement of the target object needed, to trigger the target resource providing end of the universe image to the target resource providing end sends the customized requirement, the customized requirement comprises data of the target object needed.9. A universe system, wherein the universe system comprises a universe resource end, the universe resource end comprises: a detection module, for detecting the resource demand end triggering the universe resource requirement, the universe resource requirement comprises identification information corresponding to the resource demand end; determining module, used for according to the identification information corresponding to the resource requirement end, determining the meta-space resource requirement corresponding to the element universe resource pool in the meta-space resource pool of the universe image; the determining module is further used for according to the resource demand end corresponding to the identification information and the trigger corresponding to the universe image, determining the resource demand end needed target resource; a selecting module, for selecting the target resource providing end matched with the target resource from all the first resource providing end of the universe resource pool and the universe data of the target resource providing end; an execution module for executing the universe data of outputting the target resource providing end to the trigger, for the trigger to check and perform interactive operation with the target resource providing end; wherein the universe resource pool stores the universe data of a plurality of metaverse image and a plurality of the first resource providing end, the universe data of each of the first resource providing end comprises data corresponding to the actual scene data of the first resource providing end, the detection module is further used for detecting at least one resource control end for establishing request triggered by the universe resource pool, each of the resource management control end corresponding to the establishment request comprises the resource management control element of the resource control end, the resource control element of the resource control end corresponding to the actual control scene and the actual control scene corresponding to the resource control data; Aiming at any one of the resource management control end: the determining module is further used for determining the resource control data of the resource control data in each sub-resource control data of the data type and each of the sub-resource control data amount of data; The universe resource end further includes: calculating module, used for according to the data type of all the sub-resource control data corresponding to the resource management control end, calculating the data type integrity of the resource control end, and according to the resource control end corresponding to all the sub-resource control data of the data amount, calculating the data amount integrity of the resource control end, judging module, used for judging whether the data type integrity of the resource control end is greater than or equal to the preset data type integrity threshold value and the data quantity integrity of the resource control end is greater than or equal to the preset data integrity degree; establishing module, used for when the judging result is yes, according to the resource control end of each of the sub-resource control data and the resource control data of the data type and data amount, the resource control element of the resource control end and the resource control element of the resource control end corresponding to the actual control scene, establishing the resource management end of the universe resource pool, as the meta-space resource pool of the universe resource end, wherein the universe resource pool of each of the resource control end in the presence of at least one resource providing end of the universe data.</t>
  </si>
  <si>
    <t>CN115063210 A</t>
  </si>
  <si>
    <t>CN115063210A|CN115063210B</t>
  </si>
  <si>
    <t>CN115063210 A | CN115063210 B</t>
  </si>
  <si>
    <t>I-000229899009</t>
  </si>
  <si>
    <t>20 years from 2022-08-04 (the day prior to the file date)</t>
  </si>
  <si>
    <t>https://patentscout.innography.com/share/2Nnds2xItcQChZs9Npf-xA%3D%3D</t>
  </si>
  <si>
    <t>2022-09-16-PUBLICATION|2022-10-04-ENTRY INTO FORCE OF REQUEST FOR SUBSTANTIVE EXAMINATION|2022-11-29-PATENT GRANT</t>
  </si>
  <si>
    <t>https://patentscout.innography.com/share/2Nnds2xItcQChZs9Npf-xA%3D%3D/download</t>
  </si>
  <si>
    <t>https://v3.espacenet.com/publicationDetails/biblio?CC=CN&amp;NR=115063210B&amp;KC=B&amp;FT=D&amp;date=20221129&amp;DB=EPODOC&amp;locale=</t>
  </si>
  <si>
    <t>1.  1.  A resource intelligent matching method based on meta-space, wherein the method is applied to the universe system, the universe system comprises a universe resource end, the method comprises: the universe resource end detecting resource demand end triggering the universe resource requirement, the universe resource requirement comprises identification information corresponding to the resource demand end; the meta-space resource end according to the identification information corresponding to the resource requirement end, determining the meta-space resource pool of the meta-universe resource pool in the meta-universe resource pool corresponding to the meta-universe resource requirement; the universe resource end according to the resource demand end corresponding to the identification information and the trigger corresponding to the universe image, determining the resource demand end needed target resource; the universe resource end selects the target resource providing end matched with the target resource and the universe data of the target resource providing end from all the first resource providing end of the universe resource pool, and executes to output the universe data of the target resource providing end to the trigger, for the trigger to view and perform interactive operation with the target resource providing end; wherein the universe resource pool is stored with a plurality of metaverse image and a plurality of the first resource providing end corresponding to the universe data of the enterprise; the universe data of each of the first resource providing end comprises the data corresponding to the actual scene data of the first resource providing end; The method further comprises: the universe resource end detects at least one resource control end for establishing request triggered by the universe resource pool, establishing request corresponding to each of the resource management end comprises resource control element of the resource control end, the resource control element of the resource control end corresponding to the actual control scene and the actual control scene corresponding to the resource control data; Aiming at any one of the resource management control end: the universe resource end determines the resource control data of the resource control data in each sub-resource management data of the data type and each of the sub-resource control data amount of data; the universe resource end according to the data type of all the sub-resource control data corresponding to the resource management control end, calculating the data type integrity of the resource control end, and according to the data amount of all the sub-resource control data corresponding to the resource management end, calculating the data quantity integrity of the resource control end ; the universe resource end judges whether the data type integrity of the resource control end is greater than or equal to the preset data type integrity threshold value and the data quantity integrity of the resource control end is greater than or equal to the preset data integrity degree; when the judging result is yes, the universe resource end according to the resource control end of each of the sub-resource control data and the resource control data of the data type and data amount, the resource control element of the resource control end and the resource control element of the resource control end corresponding to the actual control scene, establishing the resource management end of the universe resource pool, as the meta-space resource pool of the universe resource end, wherein the universe resource pool of each of the resource control end in the presence of at least one resource providing end of the universe data.</t>
  </si>
  <si>
    <t>9.  9.  A universe system, wherein the universe system comprises a universe resource end, the universe resource end comprises: a detection module, for detecting the resource demand end triggering the universe resource requirement, the universe resource requirement comprises identification information corresponding to the resource demand end; determining module, used for according to the identification information corresponding to the resource requirement end, determining the meta-space resource requirement corresponding to the element universe resource pool in the meta-space resource pool of the universe image; the determining module is further used for according to the resource demand end corresponding to the identification information and the trigger corresponding to the universe image, determining the resource demand end needed target resource; a selecting module, for selecting the target resource providing end matched with the target resource from all the first resource providing end of the universe resource pool and the universe data of the target resource providing end; an execution module for executing the universe data of outputting the target resource providing end to the trigger, for the trigger to check and perform interactive operation with the target resource providing end; wherein the universe resource pool stores the universe data of a plurality of metaverse image and a plurality of the first resource providing end, the universe data of each of the first resource providing end comprises data corresponding to the actual scene data of the first resource providing end, the detection module is further used for detecting at least one resource control end for establishing request triggered by the universe resource pool, each of the resource management control end corresponding to the establishment request comprises the resource management control element of the resource control end, the resource control element of the resource control end corresponding to the actual control scene and the actual control scene corresponding to the resource control data; Aiming at any one of the resource management control end: the determining module is further used for determining the resource control data of the resource control data in each sub-resource control data of the data type and each of the sub-resource control data amount of data; The universe resource end further includes: calculating module, used for according to the data type of all the sub-resource control data corresponding to the resource management control end, calculating the data type integrity of the resource control end, and according to the resource control end corresponding to all the sub-resource control data of the data amount, calculating the data amount integrity of the resource control end, judging module, used for judging whether the data type integrity of the resource control end is greater than or equal to the preset data type integrity threshold value and the data quantity integrity of the resource control end is greater than or equal to the preset data integrity degree; establishing module, used for when the judging result is yes, according to the resource control end of each of the sub-resource control data and the resource control data of the data type and data amount, the resource control element of the resource control end and the resource control element of the resource control end corresponding to the actual control scene, establishing the resource management end of the universe resource pool, as the meta-space resource pool of the universe resource end, wherein the universe resource pool of each of the resource control end in the presence of at least one resource providing end of the universe data.</t>
  </si>
  <si>
    <t>US6157953 A | US6734886 B1 | US6859878 B1 | US6976262 B1 | US7069271 B1 | US7092915 B2 | US7200864 B1 | US7234160 B2 | US7275258 B2 | US20010014907 A1 | US20020083012 A1 | US20030051164 A1 | US20030233439 A1 | US20040030932 A1 | US20040158746 A1 | US20040230914 A1</t>
  </si>
  <si>
    <t>US9660982 B2 | US9674175 B2 | US9692740 B2 | US9767262 B1 | US9767299 B2 | US9805187 B1 | US9977893 B1 | US10055595 B2 | US10154026 B2 | US10296900 B2 | US10362019 B2 | US10475018 B1 | US10482236 B1 | US10505914 B2 | US10574648 B2 | CN108282484 A | US10798072 B2 | US20180176195 A1 | US10929546 B2 | US11004054 B2 | US11082422 B2 | US11140173 B2 | US11238441 B1 | US11308186 B1 | US11379825 B2 | US11381550 B2 | CN110096538 A | US11444936 B2 | US11461677 B2 | US8819795 B2 | US8825855 B2 | US8875997 B2 | US8881266 B2 | US8949932 B2 | US8959618 B2 | US9060026 B2 | US9071645 B2 | US20140380439 A1 | US20140337946 A1 | US20150156139 A1 | US20150271167 A1 | US9323919 B2 | US9407630 B2 | US9450941 B2 | US9491116 B2 | US8433765 B2 | US8353002 B2 | US8370913 B2 | US8370928 B1 | US8375425 B2 | US8495715 B2 | US8632003 B2 | US20120311167 A1 | US20140047499 A1 | US20140047520 A1 | US20140047521 A1 | US20130174234 A1 | US7861287 B2 | US7865466 B2 | US20110093367 A1 | US7942335 B2 | US20110202982 A1 | US8056121 B2 | US8073783 B2 | US8079069 B2 | US20110314528 A1 | US8083135 B2 | US8087060 B2 | US8095970 B2 | US8140643 B2 | US20120079573 A1 | US8272049 B2 | US20090077655 A1 | US20090104601 A1 | US20090113524 A1 | US7530097 B2 | US20090126018 A1 | US20090199284 A1 | US20090199294 A1 | US20090217097 A1 | US20090327397 A1 | US20100031328 A1 | US20100082261 A1 | US20100092964 A1 | US20100122340 A1 | US20100180338 A1 | US7757275 B2 | US20100187302 A1 | US20100218233 A1 | US20100316898 A1 | US20040250141 A1 | US20060288230 A1 | US20070051799 A1 | US20070271601 A1 | US20080133533 A1 | US20080198974 A1 | US20080201761 A1 | US20080229410 A1 | US20090007157 A1 | US20090063494 A1 | US20090064297 A1</t>
  </si>
  <si>
    <t>2005-02-03</t>
  </si>
  <si>
    <t>2003-08-01</t>
  </si>
  <si>
    <t>2010-08-30</t>
  </si>
  <si>
    <t>Subject matter includes a password management system in which a web application obtains a list of accounts associated with a given user from an identity integration system connected to diverse data sources and in which a password can be updated in each data source even when the identity integration system does not natively communicate with a data source.</t>
  </si>
  <si>
    <t>Administrative reset of multiple passwords</t>
  </si>
  <si>
    <t>Cameron Kim; Abdel-wahed Ahmad; Leibmann Matthias; Miller Kevin Ralph; Booth James H.; Murman Derek; Benson Max L.; Wong Felix W.; Ungureanasu Cezar</t>
  </si>
  <si>
    <t>US10/632521</t>
  </si>
  <si>
    <t>ROBERT M TIMBLIN</t>
  </si>
  <si>
    <t>2167: Data Bases &amp; File Management</t>
  </si>
  <si>
    <t xml:space="preserve">A method, comprising: 
selecting multiple data sources connected to an identity integration system; and 
performing a password operation on a password associated with at least one of the multiple data sources, wherein the password operation is performed using the identity integration system. 
</t>
  </si>
  <si>
    <t>1. A method, comprising: 
selecting multiple data sources connected to an identity integration system; and 
performing a password operation on a password associated with at least one of the multiple data sources, wherein the password operation is performed using the identity integration system. 
2. The method as recited in claim 1, further comprising: 
determining an identity of a user, wherein the multiple data sources are associated with the identity; and 
querying the identity integration system to find the multiple data sources associated with the identity. 
3. The method as recited in claim 1, wherein the password operation comprises updating one or more passwords associated with the multiple data sources using joined objects across the multiple data sources, wherein the joined objects are stored in the identity integration system. 
4. The method as recited in claim 3, wherein some of the multiple passwords are updated to new passwords that differ from each other. 
5. The method as recited in claim 3, wherein each of the multiple passwords is updated to the same password. 
6. The method as recited in claim 1, wherein the password operation comprises one of changing, setting and resetting the password. 
7. The method as recited in claim 1, wherein each of the multiple data sources differ from others of the multiple data sources with respect to at least one of a protocol, a platform, a format, and a data transmission medium for data storage. 
8. The method as recited in claim 1, wherein each of the multiple data sources differs in a connection to the identity integration system with respect to at least one of a protocol, a platform, a format, and a data transmission medium for data storage. 
9. The method as recited in claim 1, wherein each of the multiple data sources uses a different password management function. 
10. The method as recited in claim 9, wherein the identity integration system performs password management for each of the multiple data sources. 
11. The method as recited in claim 1, wherein for at least some of the multiple data sources the identity integration system stores integrated identity information to perform password management. 
12. The method as recited in claim 1, wherein the identity integration system includes a management agent for each of the multiple data sources to manage data communication between the identity integration system and each respective data source, and wherein for at least some of the multiple data sources a management agent for the data source is configured with credentials to perform password management. 
13. The method as recited in claim 12, wherein the identity integration system includes a management agent for each of the multiple data sources to manage data communication between the identity integration system and each respective data source, and wherein for at least one of the multiple data sources a management agent for the data source calls for custom logic to perform password management for the data source. 
14. The method as recited in claim 13, wherein the management agent calls for custom logic from a custom logic source outside the identity integration system. 
15. The method as recited in claim 1, further comprising using the identity integration system to produce a list of user accounts associated with the multiple data sources, wherein the user accounts on the list are eligible for password management. 
16. The method as recited in claim 1, further comprising allowing access to the identity integration system through a web application for password management. 
17. The method as recited in claim 16, wherein the selecting multiple data sources and the performing a password operation are performed on a website generated by the web application. 
18. The method as recited in claim 17, wherein the web application accepts a password credential from a user to perform the password operation. 
19. The method as recited in claim 17, wherein the web application verifies an identity of a user by asking the user questions, wherein if answers provided by the user are correct then the web application performs the password operation using the identity of a privileged user account. 
20. The method as recited in claim 17, further comprising using the identity integration system to produce a list of user accounts displayable on the website, wherein the user accounts are associated with the multiple data sources. 
21. The method as recited in claim 17, further comprising a help desk to at least assist in the performing a password operation. 
22. The method as recited in claim 17, further comprising communicatively coupling the identity integration system with the web application using an interface. 
23. The method as recited in claim 22, wherein the interface is publicly available. 
24. The method as recited in claim 22, wherein the interface allows a web application designer to customize the web application. 
25. The method as recited in claim 22, wherein the interface includes password management functions. 
26. The method as recited in claim 22, wherein the interface is capable of being changed for an improved version of the interface that adds more password management functions while using the same web application and the same identity integration system. 
27. The method as recited in claim 22, wherein the interface is a WINDOWS MANAGEMENT INSTRUMENTATION interface. 
28. The method as recited in claim 27, wherein the interface is secured using a security group. 
29. The method as recited in claim 28, wherein the interface is secured using a security group that allows both searching for a connector object associated with a data source and setting a password for an object in the data source, wherein a connector object represents at least part of the data source in the identity integration system. 
30. The method as recited in claim 1, wherein an identity of a user associated with the multiple data sources provides a security credential for performing a password operation. 
31. The method as recited in claim 17, wherein the web application produces a list of accounts associated with a user. 
32. The method as recited in claim 31, wherein the web application lists only accounts eligible for password management. 
33. The method as recited in claim 17, wherein the web application adopts a web application behavior based on a configuration setting. 
34. The method as recited in claim 33, wherein the configuration setting is stored in a configuration file. 
35. The method as recited in claim 17, wherein the web application checks if one of the data sources is communicating before updating a password associated with the data source. 
36. The method as recited in claim 35, wherein the updating comprises one of changing and setting the password. 
37. The method as recited in claim 17, wherein the web application checks if a connection to one of the data sources is secure before updating a password associated with the data source. 
38. The method as recited in claim 37, wherein the updating comprises one of changing and setting the password. 
39. The method as recited in claim 1, further comprising displaying a status for the password operation. 
40. The method as recited in claim 39, further comprising displaying the status on a webpage. 
41. The method as recited in claim 1, further comprising auditing the password operation. 
42. The method as recited in claim 41, further comprising maintaining a password management history for the password operation. 
43. The method as recited in claim 42, further comprising keeping the password management history in a connector space object, wherein the connector space object is included in the identity integration system. 
44. The method as recited in claim 42, wherein the password management history includes a tracking identifier to an audit record of the password operation. 
45. The method as recited in claim 41, further comprising maintaining a repository of audit records for password operations performed using the identity integration system. 
46. The method as recited in claim 45, wherein an audit record for a password operation includes at least one of an identifier of a user associated with the password operation, a tracking identifier to a web application initiating the password operation, a tracking identifier to a connector object associated with the password operation, a tracking identifier to a management agent associated with the password operation, a password operation identifier, a password operation status, a date, and a time. 
47. The method as recited in claim 1, further comprising associating custom logic with a password operation, wherein the custom logic is executed after the password operation is performed. 
48. The method as recited in claim 47, wherein the custom logic sends an email. 
49. The method as recited in claim 47, wherein the custom logic logs password management activity. 
50. The method as recited in claim 47, wherein the custom logic performs a password operation on a subsequent data source not connected to the identity integration system. 
51. The method as recited in claim 1, wherein the password operation further comprises updating passwords in both secure and non-secure data sources within the multiple data sources. 
52. The method as recited in claim 1, wherein the password operation further comprises updating passwords over both secure and non-secure connections to the multiple data sources. 
53. A web application for password management, comprising: 
a user identifier to find user identity information in an identity integration system; 
identity information query logic to search information in the identity integration system for accounts associated with the user; 
an account lister to display the accounts associated with the user; 
an account selector to designate at least some of the displayed accounts for password management; 
a password inputter to determine a new password; and 
a password manager to request an update of a password associated with an account. 
54. The web application as recited in claim 53, wherein the identity integration system connects with diverse data sources, each data source having a different function for using password security. 
55. The web application as recited in claim 53, further comprising an account status display to show selected accounts and a connection status of each account. 
56. The web application as recited in claim 53, further comprising a password management status display to display a password management operation status for each account. 
57. The web application as recited in claim 53, further comprising a status checker to verify connectivity and security of a connection between an account and the identity integration system. 
58. The web application as recited in claim 53, further comprising a configuration reader to obtain behavior settings for the web application. 
59. The web application as recited in claim 53, further comprising a custom logic executor to perform custom logic associated with a password management operation. 
60. The web application as recited in claim 53, wherein the account lister lists only accounts eligible for password management. 
61. An interface for coupling an identity integration system with a password management web application, comprising: 
logic for communicating with the identity integration system, wherein the identity integration system is capable of updating a password on data sources that use various functions of password updating; 
logic for communicating with the password management web application; 
logic for searching for objects in the identity integration system; and 
logic for checking a connection status between the identity integration system and a data source. 
62. The interface as recited in claim 61, further comprising logic for checking security of a connection between the identity integration system and a data source. 
63. The interface as recited in claim 61, further comprising logic to change a password associated with the data source. 
64. The interface as recited in claim 61, further comprising logic to set a password associated with the data source. 
65. A password management system, comprising: 
a identity integration system having a metaverse space for persisting integrated identity information regarding accounts associated with a user and a connector space for persisting information representing multiple data sources connectable to the identity integration system, wherein the accounts have associated manageable passwords; 
a web application for producing a list of the accounts from the identity integration system, for allowing selection of at least some of the accounts, for inputting a password, and for requesting the identity integration system to update passwords on the accounts based on the input password; and 
an interface to communicatively couple the identity integration system with the web application. 
66. The password management system as recited in claim 65, wherein the password management web application verifies one of an identity and a credential of a user. 
67. The password management system as recited in claim 65, wherein the web application generates a webpage that displays accounts and a status of a password management operation for each account displayed. 
68. The password management system as recited in claim 65, wherein the web application operates in a security context. 
69. The password management system as recited in claim 68, wherein the security context is an application pool identity. 
70. The password management system as recited in claim 69, further comprising a help desk application, wherein the web application denies a user access to the help desk application if a security group of the user is not approved by the web application. 
71. The password management system as recited in claim 65, wherein the identity integration system stores a password management operation history for each account. 
72. The password management system as recited in claim 65, wherein the identity integration system communicates with diverse accounts, each account having a different mechanism for administering a password associated with the account. 
73. The password management system as recited in claim 72, wherein the identity integration system does not natively communicate with at least some of the diverse accounts. 
74. A management agent for an identity integration system, comprising: 
logic for adapting a connection for data communication, wherein the connection couples an identity integration system using a first data communication format with a connected data source using a second data communication format; and 
logic for requesting a connected data source to perform a password operation. 
75. The management agent as recited in claim 74, wherein the management agent performs the password operation. 
76. The management agent as recited in claim 74, wherein the management agent requests authorization for performing a password operation. 
77. The management agent as recited in claim 74, wherein the management agent is configured with credentials to perform a password management operation. 
78. The management agent as recited in claim 74, wherein the management agent is configured with credentials to request a password management operation. 
79. The management agent as recited in claim 74, further comprising logic to perform a call out for custom logic for performing a custom password operation. 
80. In a computer system having a graphical user interface including a display and a user interface selection device, a method of providing and selecting from a menu on the display comprising the steps of: 
retrieving a list of user accounts from an identity integration system having persisted identity information regarding the user accounts; 
showing the list of user accounts on the display; 
allowing each account in the list to be selected using the user interface selection device; 
allowing input of a new password via the user interface selection device; and 
allowing input of a request to update old passwords associated with the selected accounts to the new password. 
81. The method in the computer system having the graphical user interface as recited in claim 80, further comprising allowing input of user credentials to verify an identity of the user. 
82. One or more computer readable media containing instructions that are executable by a computer to perform actions, comprising: 
selecting multiple data sources connected to an identity integration system; and 
for at least one of the multiple data sources, using the identity integration system to perform a password operation. 
83. The one or more computer readable media as recited in claim 82, wherein at least some of the multiple data sources connected to the identity integration system communicate in a manner different than a native communication of the identity integration system. 
84. The one or more computer readable media as recited in claim 82, wherein the identity integration system accomplishes a password update on each of the data sources regardless of whether the data sources connected to the identity integration system communicate in a manner different than a native communication of the identity integration system. 
85. The one or more computer readable media as recited in claim 84, wherein the identity integration system accomplishes a password update on at least one of an ACTIVE DIRECTORY® data source, a SUN ONE server data source, a LOTUS NOTES server data source, a WINDOWS® NT™ server data source, a NOVELL® EDIRECTORY™ server data source, and a flat file data source.</t>
  </si>
  <si>
    <t>Cameron, Kim|Abdel-wahed, Ahmad|Leibmann, Matthias|Miller, Kevin Ralph|Booth, James H|Murman, Derek|Benson, Max L|Wong, Felix W|Ungureanasu, Cezar</t>
  </si>
  <si>
    <t>H04L0063083000 | G06F0021410000 | Y04S0040200000</t>
  </si>
  <si>
    <t>G06F01700000 | G06F02100000 | H04L02906000</t>
  </si>
  <si>
    <t>001001000</t>
  </si>
  <si>
    <t>001001000|707999100</t>
  </si>
  <si>
    <t>US20050027713A1</t>
  </si>
  <si>
    <t>US20050027713 A1</t>
  </si>
  <si>
    <t>I-000000788066</t>
  </si>
  <si>
    <t>https://patentscout.innography.com/share/B8AkUdMXVf41aXjGCZx3ew%3D%3D</t>
  </si>
  <si>
    <t>2003-10-31-ASSIGNMENT (MICROSOFT CORPORATION)|2010-08-30-INFORMATION ON STATUS: APPLICATION DISCONTINUATION|2014-10-14-ASSIGNMENT (MICROSOFT TECHNOLOGY LICENSING, LLC)</t>
  </si>
  <si>
    <t>https://patentscout.innography.com/share/B8AkUdMXVf41aXjGCZx3ew%3D%3D/download</t>
  </si>
  <si>
    <t>https://ppubs.uspto.gov/pubwebapp/external.html?q=20050027713.pn.</t>
  </si>
  <si>
    <t>101 | (not available) | CTNF
101 | (not available) | CTFR
101 | (not available) | CTFR
101 | (not available) | CTNF</t>
  </si>
  <si>
    <t>102 | US10/233618 | CTFR
102 | US10/233618 | CTNF
102 | US10/233618 | CTNF
102 | US10/288275 | CTFR
102 | US10/359973 | CTNF
102 | US10/359973 | CTFR
102 | US10/359973 | CTNF</t>
  </si>
  <si>
    <t>103 | US09/333591 | CTFR
103 | US09/333591 | CTFR
103 | US09/333591 | CTNF
103 | US09/333591 | CTNF
103 | US09/469102 | CTFR
103 | US09/747307 | CTFR
103 | US09/747307 | CTFR
103 | US09/747307 | CTFR
103 | US09/747307 | CTNF
103 | US09/747307 | CTNF
103 | US09/747307 | CTFR
103 | US10/233618 | CTFR
103 | US11/481080 | CTFR
103 | US11/481080 | CTNF
103 | US11/518836 | CTFR
103 | US11/518836 | CTNF
103 | US11/518836 | CTFR
103 | US11/518836 | CTNF</t>
  </si>
  <si>
    <t>112 | (N/A) | CTFR
112 | (N/A) | CTNF
112 | (N/A) | CTNF
112 | (N/A) | CTNF</t>
  </si>
  <si>
    <t>Intellectual Ventures Management, LLC
Intellectual Ventures Management, LLC
Intellectual Ventures Management, LLC
Accenture Plc
Ellie Mae, Inc., California
Ellie Mae, Inc., California
Ellie Mae, Inc., California</t>
  </si>
  <si>
    <t>Oracle Corporation
Oracle Corporation
Oracle Corporation
Oracle Corporation
Personalpath Systems, Inc.
Opendesign Inc
Opendesign Inc
Opendesign Inc
Opendesign Inc
Opendesign Inc
Opendesign Inc
Intellectual Ventures Management, LLC
Roche Holding AG
Roche Holding AG
Accenture Plc
Accenture Plc
Accenture Plc
Accenture Plc</t>
  </si>
  <si>
    <t>2010-02-02</t>
  </si>
  <si>
    <t>2009-08-24</t>
  </si>
  <si>
    <t>MICROSOFT CORPORATION</t>
  </si>
  <si>
    <t>1. A method, comprising: 
selecting multiple data sources connected to an identity integration system; and 
performing a password operation on a password associated with at least one of the multiple data sources, wherein the password operation is performed using the identity integration system.</t>
  </si>
  <si>
    <t>53. A web application for password management, comprising: 
a user identifier to find user identity information in an identity integration system; 
identity information query logic to search information in the identity integration system for accounts associated with the user; 
an account lister to display the accounts associated with the user; 
an account selector to designate at least some of the displayed accounts for password management; 
a password inputter to determine a new password; and 
a password manager to request an update of a password associated with an account.</t>
  </si>
  <si>
    <t>61. An interface for coupling an identity integration system with a password management web application, comprising: 
logic for communicating with the identity integration system, wherein the identity integration system is capable of updating a password on data sources that use various functions of password updating; 
logic for communicating with the password management web application; 
logic for searching for objects in the identity integration system; and 
logic for checking a connection status between the identity integration system and a data source.</t>
  </si>
  <si>
    <t>65. A password management system, comprising: 
a identity integration system having a metaverse space for persisting integrated identity information regarding accounts associated with a user and a connector space for persisting information representing multiple data sources connectable to the identity integration system, wherein the accounts have associated manageable passwords; 
a web application for producing a list of the accounts from the identity integration system, for allowing selection of at least some of the accounts, for inputting a password, and for requesting the identity integration system to update passwords on the accounts based on the input password; and 
an interface to communicatively couple the identity integration system with the web application.</t>
  </si>
  <si>
    <t>74. A management agent for an identity integration system, comprising: 
logic for adapting a connection for data communication, wherein the connection couples an identity integration system using a first data communication format with a connected data source using a second data communication format; and 
logic for requesting a connected data source to perform a password operation.</t>
  </si>
  <si>
    <t>80. In a computer system having a graphical user interface including a display and a user interface selection device, a method of providing and selecting from a menu on the display comprising the steps of: 
retrieving a list of user accounts from an identity integration system having persisted identity information regarding the user accounts; 
showing the list of user accounts on the display; 
allowing each account in the list to be selected using the user interface selection device; 
allowing input of a new password via the user interface selection device; and 
allowing input of a request to update old passwords associated with the selected accounts to the new password.</t>
  </si>
  <si>
    <t>82. One or more computer readable media containing instructions that are executable by a computer to perform actions, comprising: 
selecting multiple data sources connected to an identity integration system; and 
for at least one of the multiple data sources, using the identity integration system to perform a password operation.</t>
  </si>
  <si>
    <t>2001-01-11</t>
  </si>
  <si>
    <t>1997-03-31</t>
  </si>
  <si>
    <t>1998-03-31</t>
  </si>
  <si>
    <t>1998-11-25</t>
  </si>
  <si>
    <t>1998-10-13</t>
  </si>
  <si>
    <t>A driving circuit for a display device such as a liquid crystal display comprises a signal waveform correcting circuit for highlighting a rising edge and/or a falling edge of a waveform for a unit pixel period of an input pixel signal to correct a waveform of an output pixel signal the signal waveform correcting circuit including a delay circuit for delaying the input pixel signal a difference calculating circuit for calculating a difference between the input pixel signal and a delay signal of the input pixel signal output from the delay circuit and a correction signal generator for generating a correction signal on the basis of a difference signal sent from the difference calculating circuit. For example the correction signal generator changes an amplitude of the difference signal sent from the difference calculating circuit on the basis of the amplitude to generate a correction signal and adds the correction signal to the input pixel signal to generate a corrected pixel signal. The correction signal may be generated by amplifying or attenuating an amplitude of the input pixel signal according to the amplitude of the difference signal. Furthermore the correction signal is generated on the basis of the difference signal and the input pixel signal switches the correction signal and the input pixel signal in a predetermined timing to generate a corrected pixel signal thereby driving a display pixel. When the correction signal is generated a correction quantity can be determined in cosideration of a position of the display pixel in a display section. A distortion is easily generated in rising and falling edge portions of a waveform of a pixel signal for driving each display pixel signal. Therefore a signal in an edge region is delayed to obtain a difference and to perform correction according to the difference. With a simple structure consequently a signal having a waveform which is closer to a waveform of an original pixel signal can be sent to the display pixel.</t>
  </si>
  <si>
    <t>Driving circuit for display device</t>
  </si>
  <si>
    <t>prime|correction signal|pixel signal</t>
  </si>
  <si>
    <t>Sanyo Electric Co., Ltd.</t>
  </si>
  <si>
    <t>SANYO Electric Co., Ltd.</t>
  </si>
  <si>
    <t>TW87104776A</t>
  </si>
  <si>
    <t>^^ 382 AS B8 C8 D8 patent application scope. A driving circuit for a display device _ includes the printed by the Ministry of Economic Affairs #Associate Bureau employee consumer cooperatives; other i; The number of the input number M—the number of the number is like the letter of the number of the input number α. The former letter Γ &amp;quot; The letter of the letter shadow film element 1¾ The letter of the late number—from the change &amp;quot; S1 The front extension letter loses I / 553-7C ^ ^ = «11 is delayed 1® compared to the different lift and the image of the area 1 and the image of the image 211 makes the U ratio worse than the difference of the image Destiny: The description of the shadow is described in the following: In the description, the k number of the loser is set at the side of the person. Someone loses t, and I loses. I use the road. ，， 路 为 ，， 电 前, The difference is the introduction of the upper wave packet, and according to the number, the W device is used to make the U device, and the W device is worse than the "W" method. The circuit of the electric meter with a shape number that is significantly longer than the evidence is different from the output δ that is reducing W by the input and output ratio. The postponement of Lu Xiansu's school is delayed, the letter I, the road report, the road, the fruit before the road, the road, the birth of the product ® R, the electric convex element is shaped, the intermediary device is positive, the electricity is reduced by 1, and the electricity is released from the junction. The school is like a student on the road with waves. The first number is calculated from the relative number, and the number is less than the number of the school. Zhou Yinghao-The telegram number of the telegram and the letter of the production letter is greater than the number of the letter of the letter. Fan Yixin ’s Fan Zheng ’s radio wave transmission of the electricity meter from the extension of the spread before the spread of the letter before the spread of the prime and the calculation number like the description of the late difference and the positive basis of Zhenzhu ’s prime minister ’s calculation The film number before the film school is extended, please describe the element and then the image. Please describe the different element letter letter to the application department before the application. Zhongren M as in-^ ----- 31 ^ ------ ΐτ -----, ν (Please read the precautions on the back before filling out this page) The standard of this paper applies Chinese national standards (CNS) Α4 specification (2 丨 0 × 29? Mm) 3 9 5 11 f 418382 A8 B8 C8 D8 Ministry of Economic Affairs t Central Standards Bureau, consumer cooperation, let ’s print 6. The scope of patent application will generate a correction letter 5K »K and The aforementioned correction signal is added to the aforementioned input image element signal *, so a corrected image element signal 0 5 can be generated. A driving circuit for a display device includes: a signal wave correction circuit t for highlighting a rising edge and / or a falling edge of a wave near a boundary of a unit image element period during a unit image element signal of a human input element. Correcting the waveform of the output image element signal The aforementioned signal waveform correction circuit includes: a delay circuit t for delaying the aforementioned input image element signal by m image element periods; a difference calculation circuit for calculating the interval between the aforementioned inputs The difference between the human image element signal and the delayed signal of the input human image element cumulative signal output from the aforementioned delay circuit. The correction signal 556 generator t is used to calculate the amplitude of the difference signal sent from the circuit based on the aforementioned difference. Generate correction signal j and signal separation and expansion circuit » The image element signal is generated in the m-time period of the image element clock. 01 separate image element signals with image element information are generated every m image element periods for generating from the aforementioned correction signal. Each Π1® image element period has ill separation correction signals of image element information, and is used to output m corrected separation image element signals, which are based on the foregoing Π separation image element signals and Corresponding to the aforementioned m separation correction signals, a part of the aforementioned miscellaneous image element signal is enlarged or m is small. 0 This paper size is applicable to the national standard of the country (CNS) A4 grid (2 丨 0X 297 mm) ). • 4 ο ύ 9 i &amp;gt; I 1 ί 41B382 Bismuth C3 D8 Printed by the co-operative cooperative of employees of the Central Standardization Bureau of the Ministry of Economic Affairs, patent application scope 6. Driving circuit for display device according to item 5 of the scope of patent application, The road report with the transmission device is charged with the difference between the phase difference and the phase separation number. It is used in the previous profit of its road power Αΐ- 分, the letter number, the prime element, the pixel, the image, and the shadow. The original image of the elementary image of the elementary school 1 / the same vein of the shadow from time to time has a prime image of the elementary image, and the phase shadow is produced in the period of the week. When the pulse is taken, the installation instructions of the electric drive are displayed. Item 6: Fan Li Zhuan. Please apply for the letter No. 1 to No. 1. It contains the ionization semicolon letter of Baolu No. 1 in the middle of the letter — from sample and take — No. 丨 letter -1 prime U Yuan image to shadow one entry document The reliance on the front-use lock — the electric lock of the electric sub-lock and the latch — the semicolon and the letter and the time adjustment Ak, the spoon-like S refers to the previous one according to the production and use of the device-the production road number telecommunication lock The first and the second of the positive latch, the first and the first, the first, the first, the first, the first, the first, the second, the first, the first, the second, the first, the second, the first, the first, the second, the first, the second, the first, the second, and the second, respectively. No. 1 pair of opposite element and 1 unit of No. 1 element image element separation (please read the precautions on the back before filling out this page)-installed. T, -1 · No. to No. 1 letter correction division here ® 1 Renzhihao Xinzheng leave is divided into U, S, and has been divided into 3 ways. Solid electricity} lock -1Η U 2nd to 1st, the first and the first response should be based on the fact that the production can be selected at the same time. The special data is based on the fact that the number of elements in the image of the element is lost The road electric chick's semicolon is a semicolon and the pulse letter is delivered at the same time as the proof of the sample. The S before the S and the letter before the number are based on the image, and the input is Jc · 5 ^ J lock. The ST front latch is separated and outputted and changed; the letter of the ground number 0 is selected for correct use. The paper size of the front-end electric output selector is applicable to the Chinese national standard (CNS) A4 specification (210X29? Mm) 3 9 5 1 1 i —line_ 418382 A8 BS C3 D8 .¾ The Ministry of Economic Affairs ordered the staff of the Central Provincial Bureau of Standards to eliminate the cooperative seal 11 々, the scope of patent application like element signals and their corresponding The m-th separation correction signal. The separation correction signal is based on the specific selection clock. The display of the installation is shown in item 5. Fan Lizhuan. Please apply for the letter No. 8 according to the calculation of the number of letter difference: It is stated that there is a report that includes the birth of the production number from the document holder, and the letter of the letter is corrected. "Account;" Zheng Qian @ Ξ ® 信 校 j ί is born in the school and the note aK ΜΤΗϋΜ -N f self-number, plus letter ^ the difference between the M-number device II letter method m ^ get 1 yuan Jia Xianglu Yingdian enters Xinyuanyuan Yuanyingyingying separate period of the previous period number Zhou Xinding's special description of a certain choice and replacement (please read the precautions on the back before filling this page) Optional selection of electric charging and expansion by borrowing electric power and production of 0 points can be produced, and the element should be removed due to the letter letter, and the element should be like the installation of the electric drive on the road and the electric signal of the school number road — i Please submit your application for the No. 5 Provincial No. 5 Letter from Fan Baozheng School of Bao I:刖 According to its 9 counted number in the letter, the difference between the letter and the difference is stated before the submission. According to the number used, the difference between the letter and the difference is adjusted and sent to the school. Xinzheng School added the letter of the letter with the road electric charge expansion and separation semicolon, which was previously described in the previous paragraph, which will be divided by the method of using the device method. Additive period. The week number is a special letter, and a certain branch is included in the meta-representation of the positive letter. The film is at E. The size of the paper wave is applicable to the national standard (CNS) A4 size (210X297 mm). 3 9 5 1 1 418382 A8 B3, C8, D8, patent application scope ίο.—A driving circuit for a display device, which sequentially drives and displays a plurality of display image elements arranged in a matrix manner, including: ; Yu Zhengyue School's Road, Telegraph, Elementary Element, School, Image, Shadow, Wave, Number, Input, Elementary Week, Elementary Period, Elementary Image, Elementary Element, Elementary Element, Single Element, Single Element Or the former school ’s large M-shaped Zhou Genshu placed in the wave of the period between the period of the letter of credit and the date of the beginning of the period of the prime metamorphosis of the prime period of the period of the special period of the image * the front shadow and the original single difference In the letter and prime number, the pixel shadow element enters the image of the person who lost the image. Before the loss, the elementary image of the previous week is set. The image of the element is displayed and the effect is displayed before the display. Xiang District Drive 10 Shi Lai Di Xian Wai around Fan Suzhi's Li Yuan should be invited to apply for the film application period. According to Zhou Yisu Yuan Yuan Ying Ying Road electric drive (please read the precautions on the back before filling in this tile). Install _ order. The number of extensions is still 丨 since the delayed signal element: Yuan Youxiang's orthographic pre-correction of the transmission of electricity with a shadow packet route will be used in the letter letter. The description of the input and output loses before the introduction of the tentative calculation of the road to the electricity delay, and the extension of the electric calculation of the road is calculated from the difference and difference. Consumption cooperatives print and produce information on the production of equipment; there are differences in the difference-between the device number, the production of the new product, the extension of the letter, the letter of the positive letter, the letter of the letter, and the difference between the receipts is different. The meta-representation of the difference element of the road and telecommunications calculation is different. The front image of the image is shown in the opposite phase of the signal and the visible signal. Xin Su Yuan Yuan like a shadow person Before the description is lost, the national paper standard (CNS) A4 (2! 0 × 29? Mm) is applied to the paper size per week within the production period. 3 9 5 1 1 丨 418382 AS B8 C8 D8 The pixel period has image element information &amp;gt; 0 separate image element signals * used to generate from the aforementioned correction signal the m-time period of the image element clock. The elementary image 0 is produced and separated by a semicolon, and the letter has been corrected. The elementary image has been produced and the elementary image has been separated from the elementary h. The description of the elementary school is divided from 1 to the use statement and i. The first M of Zhou Yuanyuan's shadow elementary order before and during the middle period is that the medium is believed to show Zhou Xiansu's metaverse image before the elementary period and the previous difference between the elementary difference. The item number is in the input and input of the pixel element input image of the letter and prime element. The previous description is a single period of the week m. The period of the image element unit image is described by the previous giant m. Will show as 'in place' The elementary element of the prime element should be as described in the picture. The ionization dynamic separation drive of the road is placed on the front display period in the week. Use Dingxiao Special Item 1 or 11 to make the round period of Zhou Zhenlisu's special account number, please like Xinshen Yingyuan, according to Yuan Yuan ’s compliance with the news of school and school interest. Contains the description of the envelope before the difference and the output of the difference produced by the delivery number of the letter, Luzheng Road electrical school computer calculations before the adjustment of the difference before the lieutenant's statement I (Please read the precautions on the back first (Fill in this page again.) • Binding-Order the printout and printouts of the 5K Industrial and Consumer Corporation of the Central Bureau of Standards of the Ministry of Economic Affairs and the printout of the letter, and the report of the letter will be reduced by 1 using the method of the letter. The previous life price K minus or plus phase signal element image shadow cut road electric selection by .0 electric charge expansion and separation of the semi-colon letter before the previous period of Q Quzhou The particular one should be able to choose the correct phase and change the number of shengshengsuyuanyuan images. The semi-colon letter is correct and divided into separate paper standards applicable to Chinese national standards (CNS &amp;gt; A4 specifications (210X297) (Centimeters) 52 3 9 5 1 1 i ----------, ---- §: i ^ $ SZ A8 B8 CS D8 patent application scope a corrected separated image element signal circuit electric drive plus the addition of a display package display road to the electric charger expansion and 11-point sub-number Fan Xinli For the special description, please apply to the previous application according to its subtraction method according to the method of subtracting letters and numbers, and the previous statement will use the previous statement to subtract or add. An image of the school has been shadowed and the elementary school image has been removed from production. The road can be driven by the special period of the electric period. A special installation is shown, which is displayed in the period of the week. Yuan Fan Shanli's special description is based on the previous string, so the amplitude-the week number of the prime period, the pixel image is a shadow, and the image of the shadow of the prime number is 1 Before the meta description of the image lost, the display and the order of the moving area should be displayed according to the location of the electric drive. The display of the system &amp;quot; uf τΝκΙ Control Type Acceptance-Yuan: The image of the image contains the display The video of each element is shown in The positive display is used for correction, and the number of roads is lined up. The elementary positive square image array is used to enter the number of letters. The number of letters is input. The number of signals is displayed by the complex image. Before the period of the electricity period, the school's prime element element wave image number and shadow cell should be described in the prime element (please read the notes on the back before writing this page). In the middle and mid-term period before the cooperation Du Yinzhuang lost, the first and the last M items of the prime image and the complex number of the elementary image of the elementary image and the complex number are believed in the elementary image of the elementary image. Enter the element image of the number 0 between the small 0 or the large difference. The image of the element that enters the element. The image of the road image. Xiangdan Yuying uses the pre-15 items in the pre-Yuan monogram before the first paragraph of the first paragraph is closer to the fan than the more convenient and special account numbers. Please apply for the letter according to its original basis-like this paper size applies Chinese national standards ( CNS) Α4 size (21 0X297 mm) 3 9 5 1 1 418382 A8 B8 CS D8 Warp Printed by the Ministry of Standards and Staff's Consumer Cooperatives 11 VI. Scope of Patent Application The above-mentioned differences between the input image element signals have an effect on the aforementioned corrected input image element signals that are set to be greater than the input images between earlier unit image element periods The difference between the element signal and the element signal of the input image element described in the previous unit image element period described above is the effect of the previously corrected element element signal of the input image image W 0 17. According to the scope of the patent application The driving circuit for a display device according to item 15 »wherein the aforementioned signal waveform correction circuit includes a delay circuit for delaying the described input image element signal by h ΐ m image element periods | where m is a bullish /», V And h is an integer of 1 or more. A difference calculation circuit is used to calculate the input image element between the aforementioned. And the difference between the delayed signals output from the aforementioned delay circuit and delayed by 1 窣 m to h image element periods, respectively. The correction signal generator is used to generate the difference signals based on the difference signals sent from the difference calculation circuit described in the month rj. The correction signal * and the signal branching and expansion circuit t are used to generate m separate image element signals with image element information every n image element periods from the input image element signal described by ^ Λ. IB element correction signals with image element information every 1 image element period and for generating in from Π! Separate image element signals described above and the aforementioned separate correction signals opposite thereto The corrected separated image and image element signal | The m image element periods described above are taken as the unit image element period i and the correction signal will be applied to the aforementioned unit image element according to the aforementioned correction signal. During the first specific period of this period, the aforementioned separate image element letter paper size is applicable to China National Standard (CNS) A4 specification (2iOX297 mm) 5 4 3 9 5 1 1 Page A8 Β8 C8 D8, the amplitude of the patent application scope number is enlarged or reduced. 18. According to the scope of the patent application No. 17 for the drive circuit for display devices, the difference ir is ^ 7. -1 is (h number Thaksin ’s heterogeneous difference according to the first device in the production of its number * signal The difference between the positive letter and the different letter will be changed in the first place-the letter of the prime element will be lost by the borrowing of the prime element and the element of the prime element will be delayed. The period of Zhou Suyuan's image is 1 5mi, and the difference is 1 Ji JI 2 / ί. He borrowed the signal and the signal was late. The letter of Yan Yuan's image was captured and entered into the period of delay. Zhou Qiansu was in Yuanjie image. In order to show how different the letter is, how bad it is, or whether it is correct or not, the installation instructions for the production of the electric drive that is different from the original one are displayed. Item No. 17 The application number is believed to be based on the former birth of the previous one. The anti-prime element is borrowed by Yuan-1, which looks like the image of U, whose figure is lower than that of the original element. The difference between the school's production and the borrowed school number has been believed, and the difference The difference between the Dagen number and the letter number is from the borrowed number and the prime element image image 1 * The person who has been delayed by the letter before the letter is primed in the Yuanjie image, and the difference between the letter and the letter is different. Yuanxiangying Ministry of Economic Affairs, Central Bureau of Prospective Bureau, Consumer Cooperatives, printed road electric drive installation instructions are displayed in the use of different items. : Zhen You's previous description of the device included in the letter used in the letter, the calculation of Zhenglu School of Electricity is calculated by the former Middle School. It was borrowed. The previous paraphrase was changed and Yu Jiji was based on the difference between the letter, the letter, the letter, the letter, the letter, the letter, the letter, the letter, the letter, the letter, the letter, the letter, the letter, the letter, the letter, the letter, the letter, and the letter. Letter's elementary image difference between the shadow of the number of the input number is delayed. The paper size will apply to the Chinese National Standard (CNS) A4 specification (210X297 mm) 55 3 9 5 1 1 C8 D8 VI. Application Patent scope is the aforementioned input image element signal The difference between the delayed signals obtained by the weekly period delay of one or more image elements, so that the letter 0 and the letter 0 of the student number input and the letter of the student number will be subtracted by the sum method: It is believed that the electricity generated by the school's Baosheng Road will be fully expanded, and the number of the minus phase or the number plus the letter of the phase will be described before the letter of the prime element and its image. A-mf road news telegram 雔 prime prime element number element image element shadow element element image element Before using a book (please read the precautions on the back before filling this page), the student who violated the letter number should be taken from the school, and the number of students should be correct. In the school and school, the period is 0 m B. The pulse of the prime element is in the period of selective selection. Similar to the sum of the letter element image Points of said m-th minutes ago ladder m Ministry of Economic Affairs Cooperative Yin registration cancellation employees shut he printed electrical path thereof. The moving and driving drive of the letter Xin Zhenzhi set the image of Yuanzhuang's image. The display was separated from the letter by the Fen Yongzheng School of Health, and the product was issued on the 17th. Former Zhengshen Lieutenant Colonel according to his resignation, 1 × his borrowing, and the letter No. 1 of the letter No. 1 is different from the letter No. 1 and the letter No. 1 is delayed. The difference of the difference between the letter and the letter is the difference between the previous and the first, and the -55- period Zhou Suyuan's aberration U Uma, he borrowed the number and the letter, and the number is delayed. The description of Yuan Dejian's image was obtained while the letter was delayed and the period of delay was delayed. Zhou Deqian was previously won in Yuan, and the median image was that the number of the letter was more or less different or the properties could be different --- ----- Installation ------ Order ----- 丨 line. The paper size is applicable to the national standard (CNS) A4 scale (2 丨 OX ”7 mm) 56 3 9 5 II 418382 A8 B8 C8 D8 The scope of the patent application is used as the correction signal of the correction signal and is input: The preceding letter contains the letter from the road to the road, the charging and expansion of the road, and the semi-colon. The elementary image before shadow 'in the original letter of the basic letter d elementary elementary image of each elementary image during the embryonic period is divided into weeks of 0 times-β of interest sequence when the prime element elementary image image and shadow are in the period letter The image of Zhou Susu Yuanyuan; The shadow of the prime image of the prime student in the shadow of the road and the electric signal of the road, before the birth of the week of the prime number of the prime of the prime of the prime cell Even within the period of the week, it is divided into Π and the previous number; the letter, the letter is positive, and the school week Zhou Ping is divided into three at 3 ', with Tang Sufa Yuan _ ® subtraction I shadow added with a phase or addition phase ο Letter E No. Ϊ Su Li Η-Wufen looks like a shadow Λ The youngest should be divided into the positive phase school and the already-born students, and the product can be produced, and the image is due to the shadow-Before the road is cut, the electricity is set to drive the week. Special equipment showing the first period of the week of the prime of the element of the element 17 like the shadow of the Yuan Fan Shanli's special description please Φ Zhong according to its reliance, middle. Lu Qi's electricity to brake, drive control period of the week It is the development of the image of the prime element mounted element. It is described in 1. Use the number of one before. Item No. 17 Yuan Xiang Fan Xiang Ying Li Ying Li, who entered the application, please submit the application according to the previous statement (please read the precautions on the back before filling in this page).-Order, line Ministry of Economic Affairs Central Bureau WE: Industry A prime element printed by a consumer cooperative. The image of the long film is displayed in a period of one week, and the number of yuan in the image is sent to the image. The number of the single letter is shown in the first letter. The head will be set to be used. The standard will be printed in the middle of the week. The standard of the paper is applicable to the Chinese National Standards (CNS). Α4 grid (210 × 297 mm) 57 3 9 5 1 1</t>
  </si>
  <si>
    <t>Tsutsui, Yusuke|Kobayashi, Mitsugi|Uehara, Hisao</t>
  </si>
  <si>
    <t>G09G0003361100</t>
  </si>
  <si>
    <t>G09G0003361100 | G02F0001133000 | G09G0003200000 | G09G0003364800 | G09G2310029700 | G09G2320020900</t>
  </si>
  <si>
    <t>G09G00320000</t>
  </si>
  <si>
    <t>G09G00320000 | G09G00336000</t>
  </si>
  <si>
    <t>US6329980B1|TW418382B|KR100424034B1|KR19980080944A</t>
  </si>
  <si>
    <t>$25983</t>
  </si>
  <si>
    <t>US6329980 B1 | JP3311632 B2 | JP3421564 B2 | JPH10274967 A | JPH10274968 A | JPH11231836 A | JPH11231837 A | TW418382 B | KR100424034 B1 | KR19980080944 A</t>
  </si>
  <si>
    <t>I-000066194080</t>
  </si>
  <si>
    <t>https://patentscout.innography.com/share/28mULxtl93NX7OsgDrMXmw%3D%3D</t>
  </si>
  <si>
    <t>2001-06-01-ISSUE OF PATENT CERTIFICATE FOR GRANTED INVENTION PATENT|2018-05-11-EXPIRATION OF PATENT TERM OF AN INVENTION PATENT</t>
  </si>
  <si>
    <t>https://patentscout.innography.com/share/28mULxtl93NX7OsgDrMXmw%3D%3D/download</t>
  </si>
  <si>
    <t>https://v3.espacenet.com/publicationDetails/biblio?CC=TW&amp;NR=418382B&amp;KC=B&amp;FT=D&amp;date=20010111&amp;DB=EPODOC&amp;locale=</t>
  </si>
  <si>
    <t>TW00418382 B</t>
  </si>
  <si>
    <t>US06329980 B1</t>
  </si>
  <si>
    <t>JP03311632 B2</t>
  </si>
  <si>
    <t>1. ^^ 382 AS B8 C8 D8 patent application scope. A driving circuit for a display device _ includes the printed by the Ministry of Economic Affairs #Associate Bureau employee consumer cooperatives; other i; The number of the input number M—the number of the number is like the letter of the number of the input number α. The former letter Γ " The letter of the letter shadow film element 1¾ The letter of the late number—from the change " S1 The front extension letter loses I / 553-7C ^ ^ = «11 is delayed 1® compared to the different lift and the image of the area 1 and the image of the image 211 makes the U ratio worse than the difference of the image Destiny: The description of the shadow is described in the following: In the description, the k number of the loser is set at the side of the person. Someone loses t, and I loses. I use the road. ，， 路 为 ，， 电 前, The difference is the introduction of the upper wave packet, and according to the number, the W device is used to make the U device, and the W device is worse than the "W" method. The circuit of the electric meter with a shape number that is significantly longer than the evidence is different from the output δ that is reducing W by the input and output ratio. The postponement of Lu Xiansu's school is delayed, the letter I, the road report, the road, the fruit before the road, the road, the birth of the product ® R, the electric convex element is shaped, the intermediary device is positive, the electricity is reduced by 1, and the electricity is released from the junction. The school is like a student on the road with waves. The first number is calculated from the relative number, and the number is less than the number of the school. Zhou Yinghao-The telegram number of the telegram and the letter of the production letter is greater than the number of the letter of the letter. Fan Yixin ’s Fan Zheng ’s radio wave transmission of the electricity meter from the extension of the spread before the spread of the letter before the spread of the prime and the calculation number like the description of the late difference and the positive basis of Zhenzhu ’s prime minister ’s calculation The film number before the film school is extended, please describe the element and then the image. Please describe the different element letter letter to the application department before the application. Zhongren M as in-^ ----- 31 ^ ------ ΐτ -----, ν (Please read the precautions on the back before filling out this page) The standard of this paper applies Chinese national standards (CNS) Α4 specification (2 丨 0 × 29? Mm) 3 9 5 11 f 418382 A8 B8 C8 D8 Ministry of Economic Affairs t Central Standards Bureau, consumer cooperation, let ’s print 6. The scope of patent application will generate a correction letter 5K »K and The aforementioned correction signal is added to the aforementioned input image element signal *, so a corrected image element signal 0 5 can be generated. A driving circuit for a display device includes: a signal wave correction circuit t for highlighting a rising edge and / or a falling edge of a wave near a boundary of a unit image element period during a unit image element signal of a human input element. Correcting the waveform of the output image element signal The aforementioned signal waveform correction circuit includes: a delay circuit t for delaying the aforementioned input image element signal by m image element periods; a difference calculation circuit for calculating the interval between the aforementioned inputs The difference between the human image element signal and the delayed signal of the input human image element cumulative signal output from the aforementioned delay circuit. The correction signal 556 generator t is used to calculate the amplitude of the difference signal sent from the circuit based on the aforementioned difference. Generate correction signal j and signal separation and expansion circuit » The image element signal is generated in the m-time period of the image element clock. 01 separate image element signals with image element information are generated every m image element periods for generating from the aforementioned correction signal. Each Π1® image element period has ill separation correction signals of image element information, and is used to output m corrected separation image element signals, which are based on the foregoing Π separation image element signals and Corresponding to the aforementioned m separation correction signals, a part of the aforementioned miscellaneous image element signal is enlarged or m is small. 0 This paper size is applicable to the national standard of the country (CNS) A4 grid (2 丨 0X 297 mm) ). • 4 ο ύ 9 i ≫ I 1 ί 41B382 Bismuth C3 D8 Printed by the co-operative cooperative of employees of the Central Standardization Bureau of the Ministry of Economic Affairs, patent application scope 6. Driving circuit for display device according to item 5 of the scope of patent application, The road report with the transmission device is charged with the difference between the phase difference and the phase separation number. It is used in the previous profit of its road power Αΐ- 分, the letter number, the prime element, the pixel, the image, and the shadow. The original image of the elementary image of the elementary school 1 / the same vein of the shadow from time to time has a prime image of the elementary image, and the phase shadow is produced in the period of the week. When the pulse is taken, the installation instructions of the electric drive are displayed. Item 6: Fan Li Zhuan. Please apply for the letter No. 1 to No. 1. It contains the ionization semicolon letter of Baolu No. 1 in the middle of the letter — from sample and take — No. 丨 letter -1 prime U Yuan image to shadow one entry document The reliance on the front-use lock — the electric lock of the electric sub-lock and the latch — the semicolon and the letter and the time adjustment Ak, the spoon-like S refers to the previous one according to the production and use of the device-the production road number telecommunication lock The first and the second of the positive latch, the first and the first, the first, the first, the first, the first, the first, the second, the first, the first, the second, the first, the second, the first, the first, the second, the first, the second, the first, the second, and the second, respectively. No. 1 pair of opposite element and 1 unit of No. 1 element image element separation (please read the precautions on the back before filling out this page)-installed. T, -1 · No. to No. 1 letter correction division here ® 1 Renzhihao Xinzheng leave is divided into U, S, and has been divided into 3 ways. Solid electricity} lock -1Η U 2nd to 1st, the first and the first response should be based on the fact that the production can be selected at the same time. The special data is based on the fact that the number of elements in the image of the element is lost The road electric chick's semicolon is a semicolon and the pulse letter is delivered at the same time as the proof of the sample. The S before the S and the letter before the number are based on the image, and the input is Jc · 5 ^ J lock. The ST front latch is separated and outputted and changed; the letter of the ground number 0 is selected for correct use. The paper size of the front-end electric output selector is applicable to the Chinese national standard (CNS) A4 specification (210X29? Mm) 3 9 5 1 1 i —line_ 418382 A8 BS C3 D8 .¾ The Ministry of Economic Affairs ordered the staff of the Central Provincial Bureau of Standards to eliminate the cooperative seal 11 々, the scope of patent application like element signals and their corresponding The m-th separation correction signal. The separation correction signal is based on the specific selection clock. The display of the installation is shown in item 5. Fan Lizhuan. Please apply for the letter No. 8 according to the calculation of the number of letter difference: It is stated that there is a report that includes the birth of the production number from the document holder, and the letter of the letter is corrected. "Account;" Zheng Qian @ Ξ ® 信 校 j ί is born in the school and the note aK ΜΤΗϋΜ -N f self-number, plus letter ^ the difference between the M-number device II letter method m ^ get 1 yuan Jia Xianglu Yingdian enters Xinyuanyuan Yuanyingyingying separate period of the previous period number Zhou Xinding's special description of a certain choice and replacement (please read the precautions on the back before filling this page) Optional selection of electric charging and expansion by borrowing electric power and production of 0 points can be produced, and the element should be removed due to the letter letter, and the element should be like the installation of the electric drive on the road and the electric signal of the school number road — i Please submit your application for the No. 5 Provincial No. 5 Letter from Fan Baozheng School of Bao I:刖 According to its 9 counted number in the letter, the difference between the letter and the difference is stated before the submission. According to the number used, the difference between the letter and the difference is adjusted and sent to the school. Xinzheng School added the letter of the letter with the road electric charge expansion and separation semicolon, which was previously described in the previous paragraph, which will be divided by the method of using the device method. Additive period. The week number is a special letter, and a certain branch is included in the meta-representation of the positive letter. The film is at E. The size of the paper wave is applicable to the national standard (CNS) A4 size (210X297 mm). 3 9 5 1 1 418382 A8 B3, C8, D8, patent application scope ίο.—A driving circuit for a display device, which sequentially drives and displays a plurality of display image elements arranged in a matrix manner, including: ; Yu Zhengyue School's Road, Telegraph, Elementary Element, School, Image, Shadow, Wave, Number, Input, Elementary Week, Elementary Period, Elementary Image, Elementary Element, Elementary Element, Single Element, Single Element Or the former school ’s large M-shaped Zhou Genshu placed in the wave of the period between the period of the letter of credit and the date of the beginning of the period of the prime metamorphosis of the prime period of the period of the special period of the image * the front shadow and the original single difference In the letter and prime number, the pixel shadow element enters the image of the person who lost the image. Before the loss, the elementary image of the previous week is set. The image of the element is displayed and the effect is displayed before the display. Xiang District Drive 10 Shi Lai Di Xian Wai around Fan Suzhi's Li Yuan should be invited to apply for the film application period. According to Zhou Yisu Yuan Yuan Ying Ying Road electric drive (please read the precautions on the back before filling in this tile). Install _ order. The number of extensions is still 丨 since the delayed signal element: Yuan Youxiang's orthographic pre-correction of the transmission of electricity with a shadow packet route will be used in the letter letter. The description of the input and output loses before the introduction of the tentative calculation of the road to the electricity delay, and the extension of the electric calculation of the road is calculated from the difference and difference. Consumption cooperatives print and produce information on the production of equipment; there are differences in the difference-between the device number, the production of the new product, the extension of the letter, the letter of the positive letter, the letter of the letter, and the difference between the receipts is different. The meta-representation of the difference element of the road and telecommunications calculation is different. The front image of the image is shown in the opposite phase of the signal and the visible signal. Xin Su Yuan Yuan like a shadow person Before the description is lost, the national paper standard (CNS) A4 (2! 0 × 29? Mm) is applied to the paper size per week within the production period. 3 9 5 1 1 丨 418382 AS B8 C8 D8 The pixel period has image element information ≫ 0 separate image element signals * used to generate from the aforementioned correction signal the m-time period of the image element clock. The elementary image 0 is produced and separated by a semicolon, and the letter has been corrected. The elementary image has been produced and the elementary image has been separated from the elementary h. The description of the elementary school is divided from 1 to the use statement and i. The first M of Zhou Yuanyuan's shadow elementary order before and during the middle period is that the medium is believed to show Zhou Xiansu's metaverse image before the elementary period and the previous difference between the elementary difference. The item number is in the input and input of the pixel element input image of the letter and prime element. The previous description is a single period of the week m. The period of the image element unit image is described by the previous giant m. Will show as 'in place' The elementary element of the prime element should be as described in the picture. The ionization dynamic separation drive of the road is placed on the front display period in the week. Use Dingxiao Special Item 1 or 11 to make the round period of Zhou Zhenlisu's special account number, please like Xinshen Yingyuan, according to Yuan Yuan ’s compliance with the news of school and school interest. Contains the description of the envelope before the difference and the output of the difference produced by the delivery number of the letter, Luzheng Road electrical school computer calculations before the adjustment of the difference before the lieutenant's statement I (Please read the precautions on the back first (Fill in this page again.) • Binding-Order the printout and printouts of the 5K Industrial and Consumer Corporation of the Central Bureau of Standards of the Ministry of Economic Affairs and the printout of the letter, and the report of the letter will be reduced by 1 using the method of the letter. The previous life price K minus or plus phase signal element image shadow cut road electric selection by .0 electric charge expansion and separation of the semi-colon letter before the previous period of Q Quzhou The particular one should be able to choose the correct phase and change the number of shengshengsuyuanyuan images. The semi-colon letter is correct and divided into separate paper standards applicable to Chinese national standards (CNS ≫ A4 specifications (210X297) (Centimeters) 52 3 9 5 1 1 i ----------, ---- §: i ^ $ SZ A8 B8 CS D8 patent application scope a corrected separated image element signal circuit electric drive plus the addition of a display package display road to the electric charger expansion and 11-point sub-number Fan Xinli For the special description, please apply to the previous application according to its subtraction method according to the method of subtracting letters and numbers, and the previous statement will use the previous statement to subtract or add. An image of the school has been shadowed and the elementary school image has been removed from production. The road can be driven by the special period of the electric period. A special installation is shown, which is displayed in the period of the week. Yuan Fan Shanli's special description is based on the previous string, so the amplitude-the week number of the prime period, the pixel image is a shadow, and the image of the shadow of the prime number is 1 Before the meta description of the image lost, the display and the order of the moving area should be displayed according to the location of the electric drive. The display of the system " uf τΝκΙ Control Type Acceptance-Yuan: The image of the image contains the display The video of each element is shown in The positive display is used for correction, and the number of roads is lined up. The elementary positive square image array is used to enter the number of letters. The number of letters is input. The number of signals is displayed by the complex image. Before the period of the electricity period, the school's prime element element wave image number and shadow cell should be described in the prime element (please read the notes on the back before writing this page). In the middle and mid-term period before the cooperation Du Yinzhuang lost, the first and the last M items of the prime image and the complex number of the elementary image of the elementary image and the complex number are believed in the elementary image of the elementary image. Enter the element image of the number 0 between the small 0 or the large difference. The image of the element that enters the element. The image of the road image. Xiangdan Yuying uses the pre-15 items in the pre-Yuan monogram before the first paragraph of the first paragraph is closer to the fan than the more convenient and special account numbers. Please apply for the letter according to its original basis-like this paper size applies Chinese national standards ( CNS) Α4 size (21 0X297 mm) 3 9 5 1 1 418382 A8 B8 CS D8 Warp Printed by the Ministry of Standards and Staff's Consumer Cooperatives 11 VI. Scope of Patent Application The above-mentioned differences between the input image element signals have an effect on the aforementioned corrected input image element signals that are set to be greater than the input images between earlier unit image element periods The difference between the element signal and the element signal of the input image element described in the previous unit image element period described above is the effect of the previously corrected element element signal of the input image image W 0 17. According to the scope of the patent application The driving circuit for a display device according to item 15 »wherein the aforementioned signal waveform correction circuit includes a delay circuit for delaying the described input image element signal by h ΐ m image element periods | where m is a bullish /», V And h is an integer of 1 or more. A difference calculation circuit is used to calculate the input image element between the aforementioned. And the difference between the delayed signals output from the aforementioned delay circuit and delayed by 1 窣 m to h image element periods, respectively. The correction signal generator is used to generate the difference signals based on the difference signals sent from the difference calculation circuit described in the month rj. The correction signal * and the signal branching and expansion circuit t are used to generate m separate image element signals with image element information every n image element periods from the input image element signal described by ^ Λ. IB element correction signals with image element information every 1 image element period and for generating in from Π! Separate image element signals described above and the aforementioned separate correction signals opposite thereto The corrected separated image and image element signal | The m image element periods described above are taken as the unit image element period i and the correction signal will be applied to the aforementioned unit image element according to the aforementioned correction signal. During the first specific period of this period, the aforementioned separate image element letter paper size is applicable to China National Standard (CNS) A4 specification (2iOX297 mm) 5 4 3 9 5 1 1 Page A8 Β8 C8 D8, the amplitude of the patent application scope number is enlarged or reduced. 18. According to the scope of the patent application No. 17 for the drive circuit for display devices, the difference ir is ^ 7. -1 is (h number Thaksin ’s heterogeneous difference according to the first device in the production of its number * signal The difference between the positive letter and the different letter will be changed in the first place-the letter of the prime element will be lost by the borrowing of the prime element and the element of the prime element will be delayed. The period of Zhou Suyuan's image is 1 5mi, and the difference is 1 Ji JI 2 / ί. He borrowed the signal and the signal was late. The letter of Yan Yuan's image was captured and entered into the period of delay. Zhou Qiansu was in Yuanjie image. In order to show how different the letter is, how bad it is, or whether it is correct or not, the installation instructions for the production of the electric drive that is different from the original one are displayed. Item No. 17 The application number is believed to be based on the former birth of the previous one. The anti-prime element is borrowed by Yuan-1, which looks like the image of U, whose figure is lower than that of the original element. The difference between the school's production and the borrowed school number has been believed, and the difference The difference between the Dagen number and the letter number is from the borrowed number and the prime element image image 1 * The person who has been delayed by the letter before the letter is primed in the Yuanjie image, and the difference between the letter and the letter is different. Yuanxiangying Ministry of Economic Affairs, Central Bureau of Prospective Bureau, Consumer Cooperatives, printed road electric drive installation instructions are displayed in the use of different items. : Zhen You's previous description of the device included in the letter used in the letter, the calculation of Zhenglu School of Electricity is calculated by the former Middle School. It was borrowed. The previous paraphrase was changed and Yu Jiji was based on the difference between the letter, the letter, the letter, the letter, the letter, the letter, the letter, the letter, the letter, the letter, the letter, the letter, the letter, the letter, the letter, the letter, the letter, and the letter. Letter's elementary image difference between the shadow of the number of the input number is delayed. The paper size will apply to the Chinese National Standard (CNS) A4 specification (210X297 mm) 55 3 9 5 1 1 C8 D8 VI. Application Patent scope is the aforementioned input image element signal The difference between the delayed signals obtained by the weekly period delay of one or more image elements, so that the letter 0 and the letter 0 of the student number input and the letter of the student number will be subtracted by the sum method: It is believed that the electricity generated by the school's Baosheng Road will be fully expanded, and the number of the minus phase or the number plus the letter of the phase will be described before the letter of the prime element and its image. A-mf road news telegram 雔 prime prime element number element image element shadow element element image element Before using a book (please read the precautions on the back before filling this page), the student who violated the letter number should be taken from the school, and the number of students should be correct. In the school and school, the period is 0 m B. The pulse of the prime element is in the period of selective selection. Similar to the sum of the letter element image Points of said m-th minutes ago ladder m Ministry of Economic Affairs Cooperative Yin registration cancellation employees shut he printed electrical path thereof. The moving and driving drive of the letter Xin Zhenzhi set the image of Yuanzhuang's image. The display was separated from the letter by the Fen Yongzheng School of Health, and the product was issued on the 17th. Former Zhengshen Lieutenant Colonel according to his resignation, 1 × his borrowing, and the letter No. 1 of the letter No. 1 is different from the letter No. 1 and the letter No. 1 is delayed. The difference of the difference between the letter and the letter is the difference between the previous and the first, and the -55- period Zhou Suyuan's aberration U Uma, he borrowed the number and the letter, and the number is delayed. The description of Yuan Dejian's image was obtained while the letter was delayed and the period of delay was delayed. Zhou Deqian was previously won in Yuan, and the median image was that the number of the letter was more or less different or the properties could be different --- ----- Installation ------ Order ----- 丨 line. The paper size is applicable to the national standard (CNS) A4 scale (2 丨 OX ”7 mm) 56 3 9 5 II 418382 A8 B8 C8 D8 The scope of the patent application is used as the correction signal of the correction signal and is input: The preceding letter contains the letter from the road to the road, the charging and expansion of the road, and the semi-colon. The elementary image before shadow 'in the original letter of the basic letter d elementary elementary image of each elementary image during the embryonic period is divided into weeks of 0 times-β of interest sequence when the prime element elementary image image and shadow are in the period letter The image of Zhou Susu Yuanyuan; The shadow of the prime image of the prime student in the shadow of the road and the electric signal of the road, before the birth of the week of the prime number of the prime of the prime of the prime cell Even within the period of the week, it is divided into Π and the previous number; the letter, the letter is positive, and the school week Zhou Ping is divided into three at 3 ', with Tang Sufa Yuan _ ® subtraction I shadow added with a phase or addition phase ο Letter E No. Ϊ Su Li Η-Wufen looks like a shadow Λ The youngest should be divided into the positive phase school and the already-born students, and the product can be produced, and the image is due to the shadow-Before the road is cut, the electricity is set to drive the week. Special equipment showing the first period of the week of the prime of the element of the element 17 like the shadow of the Yuan Fan Shanli's special description please Φ Zhong according to its reliance, middle. Lu Qi's electricity to brake, drive control period of the week It is the development of the image of the prime element mounted element. It is described in 1. Use the number of one before. Item No. 17 Yuan Xiang Fan Xiang Ying Li Ying Li, who entered the application, please submit the application according to the previous statement (please read the precautions on the back before filling in this page).-Order, line Ministry of Economic Affairs Central Bureau WE: Industry A prime element printed by a consumer cooperative. The image of the long film is displayed in a period of one week, and the number of yuan in the image is sent to the image. The number of the single letter is shown in the first letter. The head will be set to be used. The standard will be printed in the middle of the week. The standard of the paper is applicable to the Chinese National Standards (CNS). Α4 grid (210 × 297 mm) 57 3 9 5 1 1</t>
  </si>
  <si>
    <t>2012-06-12</t>
  </si>
  <si>
    <t>2012-12-11</t>
  </si>
  <si>
    <t>2010-12-02</t>
  </si>
  <si>
    <t>PURPOSE: An action-based script generating apparatus and a method thereof are provided to collect gamer information and to enable a user who does not know a script language to easily participate in a metaverse game. CONSTITUTION: A sensor data collecting module(122) receives information from database and generates an action based group. A unit action analyzing/defining module(124) classifies a unit action which uses the action group in a virtual reality game. A deduct module(126) deducts a physical action of a user in the virtual reality game. A script code generating module(128) generates the physical action of the user in a script code.</t>
  </si>
  <si>
    <t>Apparatus and method for generating motion analysis-based script for virtual reality game</t>
  </si>
  <si>
    <t>virtual reality game|virtual reality|reality</t>
  </si>
  <si>
    <t>University-industry Cooperation Group Of Kyung Hee University</t>
  </si>
  <si>
    <t>Kyung Hee University</t>
  </si>
  <si>
    <t>KR20100122184A</t>
  </si>
  <si>
    <t>A life log storage step of storing daily information of a user having a portable terminal equipped with a multi-sensor in a database for a predetermined period; And  And inferring the user's behavior pattern using the daily information of the user stored in the database, and constructing a script code applicable to a script-based virtual reality game based on the inferred behavior pattern. Behavior analysis based script generation method.
The method of claim 1,  The multi-sensor may include at least one of an acceleration sensor, a gyro sensor, and a position tracking device (Golbal Positioning System, GPS).
The method of claim 1,  In the life log storage step, behavior analysis-based script generation method characterized in that for storing the data measured by the multi-sensor for one day or more.
The method of claim 1, wherein the script code constructing step  Sensor data collection step of receiving information from the database and collecting and classifying to generate a behavior set group over time;  A unit action analysis and definition step of classifying the action set group into unit actions usable in a virtual reality game;  An inference step of inferring the physical behavior performed by the user in the virtual reality game from the unit behavior and inferring the propensity and personality of the user; And  And a script code generation step of generating the user's physical behavior into a script code that can be used in the virtual reality game by reflecting the inferred user's propensity and current state.
The method of claim 4, wherein the reasoning step  A first reasoning step of inferring the location of the action, the higher level of action, and the movement method based on the location information of the user and the type and intensity of the unit action of the unit actions classified in the unit action analysis and definition step; And  And a second reasoning step of inferring the user's disposition and current state based on the result of the first reasoning step.
The method of claim 1,  The virtual reality game constitutes a three-dimensional game space that reflects realistic graphics and physics, and conducts the formation and management of content in the virtual reality game using a predetermined script language. How to generate a base script.
A database for storing daily information of a user having a portable terminal equipped with a multi-sensor for a predetermined period of time; And  Infers the behavior pattern of the user by using the daily information of the user stored in the database, and based on the inferred behavior pattern, a script engine that constructs a script code applicable to a script-based virtual reality game based on behavior analysis Script Generation Device.
The method of claim 7, wherein  The multi-sensor may include one or more of an acceleration sensor, a gyro sensor, and a position tracking device (Golbal Positioning System, GPS).
The method of claim 7, wherein  And the database stores the data measured by the multi-sensor for one or more periods in the database.
The method of claim 7, wherein the script engine  A sensor data collection module which receives the information from the database and generates a set of behaviors over time through collection and classification;  A unit action analysis and definition module for classifying the action set group into unit actions usable in a virtual reality game;  An inference module that infers the physical behavior performed by the user in the virtual reality game from the unit behavior and infers the inclination and personality of the user; And  And a script code generation module for generating the user's physical behavior into a script code that can be used in the virtual reality game by reflecting the inferred user's propensity and current state.
11. The method of claim 10, wherein the inference module  A first inference module that infers a unit action classified by the unit action analysis and definition module based on the location information of the user and the type and intensity of the unit action, the location of the action, a higher action, and a moving method; And  And a second reasoning module for inferring the user's disposition and current state based on the result inferred by the first reasoning module.
The method of claim 7, wherein  The virtual reality game constitutes a three-dimensional game space that reflects realistic graphics and physics, and conducts the formation and management of content in the virtual reality game using a predetermined script language. Based script generation device.</t>
  </si>
  <si>
    <t>Kim, Woo Young|Lee, Sung Young</t>
  </si>
  <si>
    <t>KR101211152 B1</t>
  </si>
  <si>
    <t>A63F0013300000</t>
  </si>
  <si>
    <t>A63F0013300000 | G06F0009440000 | A63F0013400000 | G06F0003032500</t>
  </si>
  <si>
    <t>G06F00930000</t>
  </si>
  <si>
    <t>G06F00930000 | G06F00944000</t>
  </si>
  <si>
    <t>KR20120060597A|KR101211152B1</t>
  </si>
  <si>
    <t>KR20120060597 A | KR101211152 B1</t>
  </si>
  <si>
    <t>I-000105925359</t>
  </si>
  <si>
    <t>Application expired due to grant (KR101211152 B1)</t>
  </si>
  <si>
    <t>https://patentscout.innography.com/share/AFh9fL0vRLdmKM6Klkgwkw%3D%3D</t>
  </si>
  <si>
    <t>2010-12-02-REQUEST FOR EXAMINATION|2012-11-29-DECISION TO GRANT OR REGISTRATION OF PATENT RIGHT|2012-12-05-WRITTEN DECISION TO GRANT|2015-11-19-ANNUAL FEE PAYMENT|2016-11-16-ANNUAL FEE PAYMENT|2017-11-24-ANNUAL FEE PAYMENT|2018-12-04-ANNUAL FEE PAYMENT</t>
  </si>
  <si>
    <t>https://patentscout.innography.com/share/AFh9fL0vRLdmKM6Klkgwkw%3D%3D/download</t>
  </si>
  <si>
    <t>https://v3.espacenet.com/publicationDetails/biblio?CC=KR&amp;NR=20120060597A&amp;KC=A&amp;FT=D&amp;date=20120612&amp;DB=EPODOC&amp;locale=</t>
  </si>
  <si>
    <t>KR20120060597 A</t>
  </si>
  <si>
    <t>SINJI International Patent Law Firm</t>
  </si>
  <si>
    <t>특허법인 신지</t>
  </si>
  <si>
    <t>1. A life log storage step of storing daily information of a user having a portable terminal equipped with a multi-sensor in a database for a predetermined period; And  And inferring the user's behavior pattern using the daily information of the user stored in the database, and constructing a script code applicable to a script-based virtual reality game based on the inferred behavior pattern. Behavior analysis based script generation method.</t>
  </si>
  <si>
    <t>7. A database for storing daily information of a user having a portable terminal equipped with a multi-sensor for a predetermined period of time; And  Infers the behavior pattern of the user by using the daily information of the user stored in the database, and based on the inferred behavior pattern, a script engine that constructs a script code applicable to a script-based virtual reality game based on behavior analysis Script Generation Device.</t>
  </si>
  <si>
    <t>CN111358428 A</t>
  </si>
  <si>
    <t>2017-12-01</t>
  </si>
  <si>
    <t>2015-02-05</t>
  </si>
  <si>
    <t>2016-01-28</t>
  </si>
  <si>
    <t>2036-01-27</t>
  </si>
  <si>
    <t>2016-08-11</t>
  </si>
  <si>
    <t>Methods systems and computer programs are presented for managing motion sickness of a user while the user is wearing a Head Mounted Device (HMD). One method includes operations for monitoring physical characteristics of a user while the user is wearing the HMD that is rendering a virtual reality with multimedia content wherein the physical characteristics include motion of the user. The multimedia content includes audio and video for presentation on a display of the HMD. Additionally the method includes operations for determining whether the user is experiencing motion sickness based on the monitoring of the physical characteristics of the user while the metaverse is being presented. Delivering supplemental sound to the user when the user is experiencing motion sickness wherein the supplemental sound is combined with sound from the multimedia content for delivery to the user and the supplemental sound is defined to reduce the motion sickness experienced by the user.</t>
  </si>
  <si>
    <t>Application of motion sickness monitoring and sound supplementation to fight motion sickness</t>
  </si>
  <si>
    <t>sickness|supplementation|physical characteristics|(HMD)</t>
  </si>
  <si>
    <t>Sony Group Corporation</t>
  </si>
  <si>
    <t>CN201680013870A</t>
  </si>
  <si>
    <t xml:space="preserve">A method performed by a processor, comprising:monitoring physical characteristics of a user while the user is wearing a Head Mounted Display (HMD) and the HMD is rendering a virtual reality with multimedia content, the multimedia content including video and audio for rendering on a display of the HMD, the physical characteristics including motion of the user;determining whether the user is experiencing motion sickness based on the monitoring of the physical characteristics of the user while the virtual reality is being presented, the physical characteristics including eye movement that is undesirable based on the presentation of the multimedia content, the eye movement being detected using gaze detection from within the HMD, wherein the eye movement is one of the physical characteristics used to determine whether a user is experiencing motion sickness; andupon determining that the user is experiencing motion sickness, delivering supplemental sound to the user, wherein the supplemental sound is output via a speaker that interfaces with an ear of a user wearing the HMD, sound from the multimedia content being output via a speaker that interfaces with an ear with the supplemental sound, the supplemental sound being delivered at a frequency that is preconfigured to not interfere with sound fidelity of sound from sound of the multimedia content, the supplemental sound being defined to reduce the motion sickness experienced by the user.
</t>
  </si>
  <si>
    <t>1. A method performed by a processor, comprising:monitoring physical characteristics of a user while the user is wearing a Head Mounted Display (HMD) and the HMD is rendering a virtual reality with multimedia content, the multimedia content including video and audio for rendering on a display of the HMD, the physical characteristics including motion of the user;determining whether the user is experiencing motion sickness based on the monitoring of the physical characteristics of the user while the virtual reality is being presented, the physical characteristics including eye movement that is undesirable based on the presentation of the multimedia content, the eye movement being detected using gaze detection from within the HMD, wherein the eye movement is one of the physical characteristics used to determine whether a user is experiencing motion sickness; andupon determining that the user is experiencing motion sickness, delivering supplemental sound to the user, wherein the supplemental sound is output via a speaker that interfaces with an ear of a user wearing the HMD, sound from the multimedia content being output via a speaker that interfaces with an ear with the supplemental sound, the supplemental sound being delivered at a frequency that is preconfigured to not interfere with sound fidelity of sound from sound of the multimedia content, the supplemental sound being defined to reduce the motion sickness experienced by the user.
2. The method of claim 1, wherein the physical characteristics further comprise one or more of user body motion, or user pupil motion detected by the eye movement, or user head motion, or user balance.
3. The method of claim 1, further comprising:decreasing a game intensity of a game executed on the HMD to reduce the motion sickness, the game generating the virtual reality for display on the HMD.
4. The method of claim 1, further comprising:vibrating the HMD in a vibration mode defined to further reduce the motion sickness.
5. The method of claim 1, wherein monitoring physical characteristics of the user further comprises:monitoring motion of the user with sensor data obtained by sensors in the HMD.
6. The method of claim 1, wherein monitoring physical characteristics of the user further comprises:monitoring motion of the user with image data obtained by a camera external to the HMD.
7. The method of claim 1, wherein the supplemental sound is determined based on a profile of the user, the profile of the user including an age of the user.
8. The method of claim 1, further comprising:generating microwave stimulation for the vestibular system of the user.
9. The method of claim 1, further comprising:when the motion sickness exceeds a predetermined threshold, an exit procedure is initiated for the user.
10. The method of claim 1, wherein the supplemental sound comprises one or more of an acoustic pulse, or a continuous acoustic signal, or an ultrasonic sound.
11. A Head Mounted Display (HMD), comprising:a display for presenting a virtual reality having multimedia content;a speaker for rendering sound of the multimedia content, the speaker being part of an earphone to be worn on an ear of a user;a camera to track a gaze of a user while the user is wearing the HMD, the camera being disposed inside the HMD and directed toward an eye of the user while viewing a screen within the HMD; anda processor, wherein the processor determines whether the user is experiencing motion sickness based on the tracking of the line of sight of the user, wherein while the user is experiencing motion sickness, the speaker delivers supplemental sound at a frequency that is preconfigured to not interfere with sound fidelity of sound from sound of the multimedia content, the supplemental sound being defined to reduce the motion sickness experienced by the user, wherein the supplemental sound is output in synchronization with sound from the multimedia content for delivery to the user via the speaker.
12. The HMD of claim 11, wherein the processor determines whether the user is experiencing motion sickness by detecting abnormal user gaze or abnormal pupil motion from tracking of user gaze.
13. The HMD of claim 11, wherein the processor determines whether the user is experiencing motion sickness by one or more of additionally processing detecting a user is out of balance or detecting the user is not responding to a game challenge.
14. The HMD of claim 11, wherein the virtual reality is generated by a game executing on the HMD.
15. The HMD of claim 11, wherein the processor additionally reduces a game intensity of a game executing on the HMD to reduce the motion sickness, the game generating the virtual reality for display on the HMD.
16. A non-transitory computer-readable storage medium storing a computer program, the computer-readable storage medium comprising:program instructions for monitoring physical characteristics of a user wearing a Head Mounted Display (HMD) while the user is accessing a virtual reality with multimedia content on the HMD;program instructions for determining whether the user is experiencing motion sickness based on the physical characteristics;program instructions for delivering supplemental sound to the user when it is determined that the user is experiencing motion sickness, the supplemental sound defined to reduce the motion sickness experienced by the user, the supplemental sound output via a speaker interfacing with an ear of a user wearing the HMD, sound from the multimedia content being output with the supplemental sound via a speaker interfacing with an ear, the supplemental sound delivered at a frequency that is preconfigured to not interfere with sound fidelity of sound from sound of the multimedia content; and program instructions for additionally reducing a game intensity of a game executed on the HMD when it is determined that the user is experiencing motion sickness, the reducing a motion intensity comprising an action that slows motion in the multimedia content or reduces a number of background elements for display for the multimedia content.
17. The storage medium of claim 16, wherein the physical characteristics include one or more of user body motion, or user pupil motion, or user gaze, or user head motion, or user balance.
18. The storage medium of claim 16, further comprising:program instructions for vibrating the HMD in a vibration mode defined to further reduce the motion sickness.
19. The storage medium of claim 16, wherein monitoring physical characteristics of the user further comprises:program instructions for monitoring motion of the user with sensor data obtained by sensors in the HMD.</t>
  </si>
  <si>
    <t>Watson, Brian</t>
  </si>
  <si>
    <t>CN107427722 A</t>
  </si>
  <si>
    <t>A63F0013570000</t>
  </si>
  <si>
    <t>A63F0013570000 | A63F0013428000 | A61B0003112000 | A61B0003113000 | A61B0005112800 | A61B0005402300 | A61B2503120000 | A61M2021003800 | A63F0013213000 | A63F0013540000 | A63F0013670000 | A63F0013790000 | G06F0003011000 | G06F0003012000 | G06F0003013000 | G06T0019006000 | A63F0013212000 | A63F0013260000 | A63F0013285000 | A63F0013424000 | A61B0005003600 | G16H0020300000 | G16H0040630000 | G16H0050200000 | G16H0050300000 | G06V0020200000</t>
  </si>
  <si>
    <t>A63F01342800</t>
  </si>
  <si>
    <t>A63F01342800 | A63F01321200 | A63F01326000 | A63F01328500 | A63F01342400</t>
  </si>
  <si>
    <t>US20160228771A1|WO2016126522A1|EP3253468A1|CN107427722A|JP2018514005A|US9999835B2|US20180296921A1|JP6526820B2|US10792569B2|EP3253468B1|CN107427722B</t>
  </si>
  <si>
    <t>WO2016126522 A1 | EP3253468 A1 | CN107427722 A | JP2018514005 A | US9999835 B2 | US20180296921 A1 | JP6526820 B2 | US10792569 B2 | EP3253468 B1 | CN107427722 B | US20160228771 A1</t>
  </si>
  <si>
    <t>I-000161083678</t>
  </si>
  <si>
    <t>20 years from 2016-01-27 (the day prior to the file date)</t>
  </si>
  <si>
    <t>https://patentscout.innography.com/share/udUu5A9vFl33kjlZmZggGQ%3D%3D</t>
  </si>
  <si>
    <t>2017-12-01-PUBLICATION|2021-02-26-PATENT GRANT</t>
  </si>
  <si>
    <t>https://patentscout.innography.com/share/udUu5A9vFl33kjlZmZggGQ%3D%3D/download</t>
  </si>
  <si>
    <t>https://v3.espacenet.com/publicationDetails/biblio?CC=CN&amp;NR=107427722B&amp;KC=B&amp;FT=D&amp;date=20210226&amp;DB=EPODOC&amp;locale=</t>
  </si>
  <si>
    <t>PCT/US2016/015427</t>
  </si>
  <si>
    <t>US20160228771 A1</t>
  </si>
  <si>
    <t>Zhang Xiaoming | 张晓明</t>
  </si>
  <si>
    <t>1. A method performed by a processor, comprising:monitoring physical characteristics of a user while the user is wearing a Head Mounted Display (HMD) and the HMD is rendering a virtual reality with multimedia content, the multimedia content including video and audio for rendering on a display of the HMD, the physical characteristics including motion of the user;determining whether the user is experiencing motion sickness based on the monitoring of the physical characteristics of the user while the virtual reality is being presented, the physical characteristics including eye movement that is undesirable based on the presentation of the multimedia content, the eye movement being detected using gaze detection from within the HMD, wherein the eye movement is one of the physical characteristics used to determine whether a user is experiencing motion sickness; andupon determining that the user is experiencing motion sickness, delivering supplemental sound to the user, wherein the supplemental sound is output via a speaker that interfaces with an ear of a user wearing the HMD, sound from the multimedia content being output via a speaker that interfaces with an ear with the supplemental sound, the supplemental sound being delivered at a frequency that is preconfigured to not interfere with sound fidelity of sound from sound of the multimedia content, the supplemental sound being defined to reduce the motion sickness experienced by the user.</t>
  </si>
  <si>
    <t>11. A Head Mounted Display (HMD), comprising:a display for presenting a virtual reality having multimedia content;a speaker for rendering sound of the multimedia content, the speaker being part of an earphone to be worn on an ear of a user;a camera to track a gaze of a user while the user is wearing the HMD, the camera being disposed inside the HMD and directed toward an eye of the user while viewing a screen within the HMD; anda processor, wherein the processor determines whether the user is experiencing motion sickness based on the tracking of the line of sight of the user, wherein while the user is experiencing motion sickness, the speaker delivers supplemental sound at a frequency that is preconfigured to not interfere with sound fidelity of sound from sound of the multimedia content, the supplemental sound being defined to reduce the motion sickness experienced by the user, wherein the supplemental sound is output in synchronization with sound from the multimedia content for delivery to the user via the speaker.</t>
  </si>
  <si>
    <t>16. A non-transitory computer-readable storage medium storing a computer program, the computer-readable storage medium comprising:program instructions for monitoring physical characteristics of a user wearing a Head Mounted Display (HMD) while the user is accessing a virtual reality with multimedia content on the HMD;program instructions for determining whether the user is experiencing motion sickness based on the physical characteristics;program instructions for delivering supplemental sound to the user when it is determined that the user is experiencing motion sickness, the supplemental sound defined to reduce the motion sickness experienced by the user, the supplemental sound output via a speaker interfacing with an ear of a user wearing the HMD, sound from the multimedia content being output with the supplemental sound via a speaker interfacing with an ear, the supplemental sound delivered at a frequency that is preconfigured to not interfere with sound fidelity of sound from sound of the multimedia content; and program instructions for additionally reducing a game intensity of a game executed on the HMD when it is determined that the user is experiencing motion sickness, the reducing a motion intensity comprising an action that slows motion in the multimedia content or reduces a number of background elements for display for the multimedia content.</t>
  </si>
  <si>
    <t>US6411683 B1 | US6651086 B1 | US7062286 B2 | US7346654 B1 | US7412392 B1 | US20040249650 A1 | US20050055450 A1 | US20060117040 A1 | US20060190809 A1 | US20070130257 A1 | US20080140782 A1 | US20080147487 A1 | US20080148156 A1</t>
  </si>
  <si>
    <t>US10891947 B1 | US11128675 B2 | US20120151381 A1 | WO2016077177 A1 | US9449308 B2</t>
  </si>
  <si>
    <t>2009-06-25</t>
  </si>
  <si>
    <t>2007-12-20</t>
  </si>
  <si>
    <t>2010-09-29</t>
  </si>
  <si>
    <t>A method for networking and collaboration the method includes: monitoring one or more communication systems for conversations of interest; identifying conversations of interest; introducing the user to the one or more conversations of interest; wherein the identification of one or more conversations of interest is made in response to parameters inputted by the user; and wherein the inputted parameters are matched to at least one of: tags and keywords associated with the conversations of interest.</t>
  </si>
  <si>
    <t>Method for forming ad hoc social networks in two dimensional collaboration</t>
  </si>
  <si>
    <t>US11/960927</t>
  </si>
  <si>
    <t>CATHERINE B THIAW</t>
  </si>
  <si>
    <t>2458: Computer Networks</t>
  </si>
  <si>
    <t xml:space="preserve">A method for networking and collaboration, the method comprising:
monitoring one or more communication systems for conversations of interest;
identifying one or more conversations of interest;
notifying a user of the identification of one or more conversations of interest;
introducing the user to the one or more conversations of interest;
wherein the identification of one or more conversations of interest is made in response to parameters inputted by the user; and
wherein the inputted parameters are matched to at least one of: tags and keywords associated with the conversations of interest.
</t>
  </si>
  <si>
    <t>1. A method for networking and collaboration, the method comprising:
monitoring one or more communication systems for conversations of interest;
identifying one or more conversations of interest;
notifying a user of the identification of one or more conversations of interest;
introducing the user to the one or more conversations of interest;
wherein the identification of one or more conversations of interest is made in response to parameters inputted by the user; and
wherein the inputted parameters are matched to at least one of: tags and keywords associated with the conversations of interest.
2. The method of claim 1, wherein the method further comprises:
determining whether the identified conversations of interest are private or public;
wherein in response to a determination that the conversation of interest is private, a plurality of participants talking part in the conversation of interest are notified of the user's desire to join the conversation of interest; and
wherein the plurality of participants grant or deny the user's entry into the conversation of interest.
3. The method of claim 1, wherein the one or more communication systems are instant messaging (IM) systems.
4. The method of claim 1, wherein the one or more communication systems are voice communication or telephone networks configured with voice to text infrastructure or real time voice recognition systems; and
wherein tags associated with each of a plurality of participants in a conversation are used to determine if the conversation is of interest to the user.
5. The method of claim 1, wherein the one or more communication systems are configured to create a virtual environment;
wherein the virtual environment takes place in cyberspace in a metaverse over computer networks; and
wherein the virtual environment is configured for carrying out conversations of interest.</t>
  </si>
  <si>
    <t>Bravery, Andrew J F|Gale, Martin|Shaw, Darren M</t>
  </si>
  <si>
    <t>G06F0016335000</t>
  </si>
  <si>
    <t>US20090164573A1</t>
  </si>
  <si>
    <t>US20090164573 A1</t>
  </si>
  <si>
    <t>I-000075154370</t>
  </si>
  <si>
    <t>https://patentscout.innography.com/share/k0mQWBYSPfn_i-JbmCmd_A%3D%3D</t>
  </si>
  <si>
    <t>2007-12-18-ASSIGNMENT (INTERNATIONAL BUSINESS MACHINES CORPORATION)|2010-09-29-INFORMATION ON STATUS: APPLICATION DISCONTINUATION</t>
  </si>
  <si>
    <t>https://patentscout.innography.com/share/k0mQWBYSPfn_i-JbmCmd_A%3D%3D/download</t>
  </si>
  <si>
    <t>https://ppubs.uspto.gov/pubwebapp/external.html?q=20090164573.pn.</t>
  </si>
  <si>
    <t>103 | (not available) | CTFR
103 | (not available) | CTNF</t>
  </si>
  <si>
    <t>2009-09-21</t>
  </si>
  <si>
    <t>1. A method for networking and collaboration, the method comprising:
monitoring one or more communication systems for conversations of interest;
identifying one or more conversations of interest;
notifying a user of the identification of one or more conversations of interest;
introducing the user to the one or more conversations of interest;
wherein the identification of one or more conversations of interest is made in response to parameters inputted by the user; and
wherein the inputted parameters are matched to at least one of: tags and keywords associated with the conversations of interest.</t>
  </si>
  <si>
    <t>US9338200 B2 | KR20220156352 A | KR102476830 B1</t>
  </si>
  <si>
    <t>2009-05-27</t>
  </si>
  <si>
    <t>2009-07-01</t>
  </si>
  <si>
    <t>2007-11-22</t>
  </si>
  <si>
    <t>The present invention relates to a groupware service system using a network and a method thereof and by providing a CA which is a groupware service in a metaverse-based network environment in real time a user can feel a sense of immersion and information delivery through a 3D avatar and a personal community. Ease of use can be secured and various activities can be performed in cyberspace.Mobile terminal LBS RFID Network Groupware</t>
  </si>
  <si>
    <t>Groupware service system by using network and its method</t>
  </si>
  <si>
    <t>groupware|mobile communication terminal|mobile communication</t>
  </si>
  <si>
    <t>Electronics And Telecommunications Research Institute;electronics And Telecommunications Research Institute;electronics And Telecommunications Research Institute</t>
  </si>
  <si>
    <t>KR20070119879A</t>
  </si>
  <si>
    <t>When a groupware service is requested from a mobile communication terminal, LBS and RFID server means for measuring and providing location information for each distance of other terminals existing within a preset distance condition by the mobile communication terminal;A groupware server means for providing a groupware service to the mobile communication terminal based on the measured current location information of the distances of the other terminals and the current location of the previously inputted mobile communication terminal;Groupware service system using a network comprising a.
The method of claim 1,The LBS and RFID server means,An LBSP requesting to determine the current location of other terminals according to the groupware service request, and providing a current location by distance of other terminals input in response to the request;An MPC requesting to measure a current location of other terminals according to a location request from the LBSP, and providing the current location of each other terminal input to the LBSP in response to the request;A PDE and an exchanger for measuring the current position for each distance of other terminals according to the position measurement request from the MPC and providing it to the MPC;LBSE which transmits the current location by distance of other terminals inputted from the LBSP to the mobile communication terminal and also provides the groupware server means.Groupware service system using a network comprising a.
The method of claim 2,The current position measurement of each of the other terminals by distance is calculated using a triangulation method using a signal time difference between the AP providing the network and the other terminals.
The method of claim 2,The groupware service is a groupware service system using a network, which provides context awareness (Context Awareness, hereinafter CA) to a mobile communication terminal in real time.
The method of claim 4, whereinThe CA automatically matches and automatically group other terminals having the same information as the user among other terminals within a distance range preset by the mobile communication terminal, and 1: 1 or with other terminals in the same group. Groupware service system using a network, characterized in that for 1: N content by connecting.
The method of claim 5, whereinThe content is any one of online games, cyber meetings using avatars, cyber seminars, cyber education, cyber chat, image transmission, photo transmission, file transmission, text transmission, multimedia sharing, the groupware service system using a network. .
Measuring current location information of the mobile communication terminal;When the groupware service is requested from the mobile communication terminal through a network, measuring location information for each distance of other terminals existing within a predetermined distance condition by the mobile communication terminal;Providing a groupware service to the mobile communication terminal through the network based on the measured current location information of the mobile communication terminal and current location information for each distance of the other terminals;Groupware service method using a network comprising a.
The method of claim 7, whereinThe network is a groupware service method using any one of LAN, Interanet, Wibro, H.S.D.P, and Hsdpa.</t>
  </si>
  <si>
    <t>Kim, Nam Guk|Kim, Young Seok|Lee, Ki Suk|Lee, Beom Ryeol|Park, Chang Joon|Yang, Kwang Ho</t>
  </si>
  <si>
    <t>KR100905407 B1</t>
  </si>
  <si>
    <t>H04W0004080000</t>
  </si>
  <si>
    <t>H04W0004080000 | G06K0017000000 | H04B0005000000 | H04B0007260000</t>
  </si>
  <si>
    <t>G06K01700000</t>
  </si>
  <si>
    <t>G06K01700000 | G06K01700000 | G06K01700000 | H04B00500000 | H04B00500000 | H04B00500000 | H04B00726000 | H04B00726000 | H04B00726000 | H04W00408000 | H04W00408000 | H04W00408000</t>
  </si>
  <si>
    <t>KR20090053183A|KR100905407B1</t>
  </si>
  <si>
    <t>KR20090053183 A | KR100905407 B1</t>
  </si>
  <si>
    <t>I-000075306319</t>
  </si>
  <si>
    <t>Application expired due to grant (KR100905407 B1)</t>
  </si>
  <si>
    <t>https://patentscout.innography.com/share/VvgseLaz-mPtDUPH8pnx1w%3D%3D</t>
  </si>
  <si>
    <t>2007-11-22-REQUEST FOR EXAMINATION|2008-12-18-NOTIFICATION OF REASON FOR REFUSAL|2009-06-19-DECISION TO GRANT OR REGISTRATION OF PATENT RIGHT|2009-06-24-WRITTEN DECISION TO GRANT|2013-06-24-ANNUAL FEE PAYMENT|2014-06-24-ANNUAL FEE PAYMENT|2015-06-15-ANNUAL FEE PAYMENT|2016-06-24-ANNUAL FEE PAYMENT|2017-06-26-ANNUAL FEE PAYMENT|2018-06-25-ANNUAL FEE PAYMENT|2020-03-24-REGISTRATION OF RESTORATION</t>
  </si>
  <si>
    <t>https://patentscout.innography.com/share/VvgseLaz-mPtDUPH8pnx1w%3D%3D/download</t>
  </si>
  <si>
    <t>https://v3.espacenet.com/publicationDetails/biblio?CC=KR&amp;NR=20090053183A&amp;KC=A&amp;FT=D&amp;date=20090527&amp;DB=EPODOC&amp;locale=</t>
  </si>
  <si>
    <t>김원준 | 장성구</t>
  </si>
  <si>
    <t>1. When a groupware service is requested from a mobile communication terminal, LBS and RFID server means for measuring and providing location information for each distance of other terminals existing within a preset distance condition by the mobile communication terminal;A groupware server means for providing a groupware service to the mobile communication terminal based on the measured current location information of the distances of the other terminals and the current location of the previously inputted mobile communication terminal;Groupware service system using a network comprising a.</t>
  </si>
  <si>
    <t>7. Measuring current location information of the mobile communication terminal;When the groupware service is requested from the mobile communication terminal through a network, measuring location information for each distance of other terminals existing within a predetermined distance condition by the mobile communication terminal;Providing a groupware service to the mobile communication terminal through the network based on the measured current location information of the mobile communication terminal and current location information for each distance of the other terminals;Groupware service method using a network comprising a.</t>
  </si>
  <si>
    <t>2011-02-01</t>
  </si>
  <si>
    <t>2009-07-24</t>
  </si>
  <si>
    <t>2026-02-01</t>
  </si>
  <si>
    <t>PURPOSE: A home network control apparatus and a control method thereof are provided to eliminate an additional user&amp;#39;s input by collecting various users&amp;#39; action. CONSTITUTION: Based on collected users&amp;#39; action a user preference setting unit(220) creates a user preference profile. According to an effective information based on the user&amp;#39;s preference profile a control unit(250) controls a home device. A user action detection unit(222) detects the user&amp;#39;s action. A user information unit(224) stores the user information with the analysis of the user action. Based on the user preference information a generating unit(226) creates the user&amp;#39;s preference profile.</t>
  </si>
  <si>
    <t>Home network control apparatus and control method thereof</t>
  </si>
  <si>
    <t>KR20090067865A</t>
  </si>
  <si>
    <t>A user preference setting unit to collect a user's action and generate a user preference profile based on the collected user's actions; AndControl unit for controlling a home device according to the effect information based on the user preference profileHome network control device comprising a.
The method of claim 1, wherein the user preference setting unit,A user action detection unit for detecting an action of the user;A user information unit for analyzing and storing the user action as user information; AndA generating unit for generating the user preference profile based on the user informationHome network control device comprising a.
The method of claim 2, wherein the user information unit,And analyzing the newly detected user action and updating with new user information.
The home network controller of claim 2, wherein the user action is input through a graphical user interface or a metaverse client.
According to claim 1, The effect information based on the user preference profile,And the effect information of the multimedia content metadata is processed according to the user preference profile.
Receiving a selection of a user-customized mode; AndControlling a home device based on a user preference profile according to an action of a user when the user-customized mode is selectedHome network control method comprising a.
The method of claim 6,Detecting an action of the user;Analyzing and storing the action of the user as user information; AndGenerating the user preference profile based on the user information.
The method of claim 7, whereinAnd analyzing the newly detected action of the user and updating the new user information.
The method of claim 6, wherein when the user-customized mode is not selected,And mapping and controlling effect information of metadata of the multimedia content and the home device based on a preset device profile.
The method of claim 6, wherein controlling the home device comprises:Processing metadata of multimedia content into effect information based on the user preference profile; AndMapping and controlling the home device and the processed effect information based on a preset device profileHome network control method comprising a.</t>
  </si>
  <si>
    <t>Lee, Eun Seo|Jang, Jong Hyun|Park, Kwang Roh</t>
  </si>
  <si>
    <t>H04L0012282900</t>
  </si>
  <si>
    <t>H04L0012282900 | H04L0012281600</t>
  </si>
  <si>
    <t>H04L01216000</t>
  </si>
  <si>
    <t>KR20110010347A</t>
  </si>
  <si>
    <t>KR20110010347 A</t>
  </si>
  <si>
    <t>I-000095285543</t>
  </si>
  <si>
    <t>15 years from 2011-02-01 (publish date)</t>
  </si>
  <si>
    <t>https://patentscout.innography.com/share/3ScgVhNeuNYmtN_JYINMZw%3D%3D</t>
  </si>
  <si>
    <t>2009-07-24-REQUEST FOR EXAMINATION|2011-07-25-NOTIFICATION OF REASON FOR REFUSAL|2012-02-23-DECISION TO REFUSE APPLICATION</t>
  </si>
  <si>
    <t>https://patentscout.innography.com/share/3ScgVhNeuNYmtN_JYINMZw%3D%3D/download</t>
  </si>
  <si>
    <t>https://v3.espacenet.com/publicationDetails/biblio?CC=KR&amp;NR=20110010347A&amp;KC=A&amp;FT=D&amp;date=20110201&amp;DB=EPODOC&amp;locale=</t>
  </si>
  <si>
    <t>1. A user preference setting unit to collect a user's action and generate a user preference profile based on the collected user's actions; AndControl unit for controlling a home device according to the effect information based on the user preference profileHome network control device comprising a.</t>
  </si>
  <si>
    <t>6. Receiving a selection of a user-customized mode; AndControlling a home device based on a user preference profile according to an action of a user when the user-customized mode is selectedHome network control method comprising a.</t>
  </si>
  <si>
    <t>2013-06-21</t>
  </si>
  <si>
    <t>2008-01-08</t>
  </si>
  <si>
    <t>2008-06-30</t>
  </si>
  <si>
    <t>A method for approximating an upper bound limit for the absolute value of a complex number or the norm of a two-element vector is disclosed. An upper bound approximation algorithm is used to minimize software implementation of the upper bound approximation algorithm only requires a multiplier element and an adder element. Therefore this algorithm can be implemented anywhere in a digital signal processing apparatus without increasing cost significantly. Moreover the hardware employing the present invention can be implemented in a pipeline architecture configuration to achieve a real time function in digital audio or digital video applications.</t>
  </si>
  <si>
    <t>Method and apparatus for approximating an upper-bound limit for an absolute value of a complex number or norm of a two-element vector</t>
  </si>
  <si>
    <t>Himax Technologies Limited</t>
  </si>
  <si>
    <t>Himax Technologies, Inc.</t>
  </si>
  <si>
    <t>TW97124613A</t>
  </si>
  <si>
    <t>200931909 X. Patent application scope: J. A method for approximating the absolute boundary limit of the complex number, the earth + X 4 - the number of turns of the number (4), the method includes the following steps: · Initializing the plural The absolute value of the real part and the imaginary part; According to an upper bound approximation method, the upper bound limit, and the upper bound formula generate the above-mentioned speculation whether there is an overflow state. 2. As in the method of applying for the scope of the patent, when an overflow condition is detected, /匕3: state. The output of the seat is indicated to indicate this overflow. 3. As for the method of claim 1 of the patent scope, the absolute value of 1 towel &amp;amp; % &amp;amp; department is buried by a 2, ^ 沄 沄 中 此 此 此 此 此 此 虚The s complement method obtains the negative value of this square and real part to - positive value. The W law system converts the virtual 4. If the patent application scope is the first! The part with the smallest absolute value in the real part of the item is the method of comparing the imaginary part of the obtained/complex number or the third part of the patent scope, where - the *, ', # are the imaginary part or the real part of the number In the absolute, broken absolute value. The value of the small part of the 2009 31909 -6 -6 difference, please patent the scope of the method of the first item, where - the second variable # i 疋 is equivalent to the + count is the absolute value. The imaginary part of the reading or the part of the real part with a larger absolute value. · For example, the method of applying for the scope of patents, wherein the plural is normal ❹ This binary vector is the method of claim 1 of the scope of the patent application, wherein the method of step 2 is 'the output is the initial Zheng Yi 笮The absolute value of the imaginary part and the real part.鬌 _ _ _ _ _ _ _ _ _ _ _ _ _ _ _ _ _ _ _ _ _ _ _ _ _ _ _ _ _ _ _ _ _ _ _ _ _ _ _ _ _ _ _ _ _ _ _ In the third part, the upper bound equation is received - then has the absolute value of ::', ! i ρ; and the second variable value; the absolute part of the imaginary part or the real part of the larger part of the real part 2009 31909 Then, according to the upper bound approximation method number, the first variable is multiplied by one parameter to add the multiplication result to the second variable bound output. The results obtained are as follows: 12. The method of claim u (wan-ι). Where the parameter is13. If the patent application scope is (10,000-1). The method of item 11, wherein the parameter is greater than ❹ 14. as in the patent application range (V5-1) and less than 0.5. The method of item 11, wherein the parameter is greater than 15. The method of claim 1, wherein the digital broadcast system comprises a digital audio broadcast video broadcasting (DVB) system. ', wherein the method is for a (DAB) system and/or a method of applying for a patent-number-digital signal processing (DSP) item, wherein the method is for a method of approximating a complex number. A device for value or bounds, comprising: - one of the number of metaverses on 200931909, a comparison element pair value; and a system for comparing the imaginary part of the complex part with the real part according to an upper bound approximation method The upper-boundary equation circuit has an upper bound. 18. The apparatus of claim 17, wherein the comparison element further comprises a 2&amp;apos;s complementary circuit to convert the negative value to a positive value. The device of claim 17, wherein the comparison element sends the edge portion and the imaginary portion, and an indication is sent to define a portion having a smaller value and a larger absolute value. 20. The apparatus of claim 17, wherein the upper bound equation circuit outputs an upper bound limit of the complex absolute value, the circuit includes a multiplication element 'which is used to multiply the absolute value of the smaller absolute value by - Parameter, and © This multiplication action is based on the aforementioned upper bound approximation algorithm to obtain a - product. The circuit also includes an addition element for adding the product to the absolute value of the portion having the larger absolute value. 21. The method of claim 11 wherein the parameter is 22. The method of claim 11 wherein the parameter is greater than (-1) 〇 25 200931909 23. The method of claim 5, wherein The parameter is greater than (7^&amp;quot; -1) and less than 0.5. 24. The device of claim 17 of the patent application, wherein the device is used for broadcasting a digital broadcasting system and/or a digital image broadcasting system.</t>
  </si>
  <si>
    <t>Tsai, Kuo-shih</t>
  </si>
  <si>
    <t>TWI399952 B</t>
  </si>
  <si>
    <t>G06F0017100000</t>
  </si>
  <si>
    <t>G06F0017100000 | G06F0017142000</t>
  </si>
  <si>
    <t>H04L02734000</t>
  </si>
  <si>
    <t>H04L02734000 | G06F01714000 | H04H06007000</t>
  </si>
  <si>
    <t>US20090177723A1|TW200931909A|US8443016B2|TWI399952B</t>
  </si>
  <si>
    <t>$8711</t>
  </si>
  <si>
    <t>US20090177723 A1 | TW200931909 A | US8443016 B2 | TWI399952 B</t>
  </si>
  <si>
    <t>I-000101112239</t>
  </si>
  <si>
    <t>Application expired due to grant (TWI399952 B)</t>
  </si>
  <si>
    <t>https://patentscout.innography.com/share/v1jv_H1SZKMVgbgXuA7t4g%3D%3D</t>
  </si>
  <si>
    <t>https://patentscout.innography.com/share/v1jv_H1SZKMVgbgXuA7t4g%3D%3D/download</t>
  </si>
  <si>
    <t>https://v3.espacenet.com/publicationDetails/biblio?CC=TW&amp;NR=200931909A&amp;KC=A&amp;FT=D&amp;date=20090716&amp;DB=EPODOC&amp;locale=</t>
  </si>
  <si>
    <t>TW200931909 A</t>
  </si>
  <si>
    <t>US20090177723 A1</t>
  </si>
  <si>
    <t>TW Applications</t>
  </si>
  <si>
    <t>KR20070088455 A | KR20030096146 A</t>
  </si>
  <si>
    <t>KR102404585 B1 | WO2013022187 A1 | KR101352875 B1</t>
  </si>
  <si>
    <t>2027-11-22</t>
  </si>
  <si>
    <t>When a groupware service is requested from a mobile communication terminal, LBS and RFID server means for measuring and providing location information for each distance of other terminals existing within a preset distance condition by the mobile communication terminal;A groupware server means for providing a groupware service to the mobile communication terminal based on the measured current location information of the distances of the other terminals and the current location of the previously inputted mobile communication terminal;Groupware service system using a network comprising a.
The method of claim 1,The LBS and RFID server means,An LBSP requesting to determine the current location of other terminals according to the groupware service request, and providing a current location by distance of other terminals input in response to the request;An MPC requesting to measure the current location of other terminals according to the location request from the LBSP, and providing the LBSP with a current location for each distance inputted in response to the request to measure the current location;A PDE and an exchanger for measuring the current position for each distance of other terminals according to the position measurement request from the MPC and providing it to the MPC;LBSE which transmits the current location by distance of other terminals inputted from the LBSP to the mobile communication terminal and also provides the groupware server means.Groupware service system using a network comprising a.
The method of claim 2,The current position measurement of each of the other terminals by distance is calculated using a triangulation method using a signal time difference between the AP providing the network and the other terminals.
The method of claim 2,The groupware service is a groupware service system using a network, which provides context awareness (Context Awareness, hereinafter CA) to a mobile communication terminal in real time.
The method of claim 4, whereinThe CA automatically groups other terminals within the distance range preset by the mobile communication terminal by using real-time matchmaking and other terminals having the same information as the user and having the same purpose, and with other terminals in the same group. Groupware service system using a network, characterized in that for providing content by connecting 1: 1 or 1: N.
The method of claim 5, whereinThe content is any one of online games, cyber meetings using avatars, cyber seminars, cyber education, cyber chat, image transmission, photo transmission, file transmission, text transmission, multimedia sharing, the groupware service system using a network. .
Measuring current location information of the mobile communication terminal;When the groupware service is requested from the mobile communication terminal through a network, measuring location information for each distance of other terminals existing within a predetermined distance condition by the mobile communication terminal;Providing a groupware service to the mobile communication terminal through the network based on the measured current location information of the mobile communication terminal and current location information for each distance of the other terminals;Groupware service method using a network comprising a.
The method of claim 7, whereinThe network is a groupware service method using any one of LAN, Interanet, Wibro, H.S.D.P, and Hsdpa.</t>
  </si>
  <si>
    <t>H04W00408000</t>
  </si>
  <si>
    <t>H04W00408000 | G06K01700000 | H04B00500000 | H04B00726000</t>
  </si>
  <si>
    <t>$23174</t>
  </si>
  <si>
    <t>20 years from 2007-11-22 (file date)</t>
  </si>
  <si>
    <t>https://patentscout.innography.com/share/AsjMjxD_eK6SNdaOaYq7cw%3D%3D</t>
  </si>
  <si>
    <t>https://patentscout.innography.com/share/AsjMjxD_eK6SNdaOaYq7cw%3D%3D/download</t>
  </si>
  <si>
    <t>https://v3.espacenet.com/publicationDetails/biblio?CC=KR&amp;NR=100905407B1&amp;KC=B1&amp;FT=D&amp;date=20090701&amp;DB=EPODOC&amp;locale=</t>
  </si>
  <si>
    <t>CN115018472 A | US20220318763 A1</t>
  </si>
  <si>
    <t>2020-11-12</t>
  </si>
  <si>
    <t>An exemplary embodiment may provide an explainable reinforcement learning system. Explanations may be incorporated into an exemplary reinforcement learning agent/model or a corresponding environmental model. The explanations may be incorporated into an agent&amp;#39;s state and/or action space. An explainable Bellman equation may implement an explainable state and explainable action as part of an explainable reward function. An explainable reinforcement learning induction method may implement a dataset to provide a white-box model which mimics a black-box reinforcement learning system. An explainable generative adversarial imitation learning model may implement an explainable generative adversarial network to train the occupancy measure of a policy and may generate multiple levels of explanations. Explainable reinforcement learning may be implemented on a quantum computing system using an embodiment of an explainable Bellman equation.</t>
  </si>
  <si>
    <t>Architecture for explainable reinforcement learning</t>
  </si>
  <si>
    <t>reinforcement learning|explanation|reinforcement learning system|interpretation|symbolic</t>
  </si>
  <si>
    <t>US17/525395</t>
  </si>
  <si>
    <t>KURT FERNSTROM</t>
  </si>
  <si>
    <t xml:space="preserve">A method for providing an explainable agent for estimating an explainable reward function, comprising:
acquiring an observed space comprising one or more states and one or more actions and modeling the observed space as a plurality of explainable state-action pairs;
forming one or more explainable models comprising a simulated environment and a reward function;
returning at least one explanation from at least one of the one or more explainable models corresponding to at least one state and at least one reward.
</t>
  </si>
  <si>
    <t>1. A method for providing an explainable agent for estimating an explainable reward function, comprising:
acquiring an observed space comprising one or more states and one or more actions and modeling the observed space as a plurality of explainable state-action pairs;
forming one or more explainable models comprising a simulated environment and a reward function;
returning at least one explanation from at least one of the one or more explainable models corresponding to at least one state and at least one reward.
2. The method for providing the explainable agent of claim 1, wherein the explanation indicates one or more actions or one or more decisions of the at least one explainable model.
3. The method for providing the explainable agent of claim 1, wherein one or more constraints in the reward function comprise at least one of: a real-world physics model, an experimentally derived knowledge base, a knowledge base, a knowledge graph, a taxonomy, an ontology, a symbolic rule, a set of Bayesian estimates, a set of expert-derived samples, a set of simulator-derived samples, a set of environment-derived samples, and a simulator constraint model with statistical, causal, symbolic and neuro-symbolic constraints.
4. The method for providing the explainable agent of claim 1, further comprising identifying, from the observed space, one or more irreversible states and one or more reversible states, a range, a cost, a reward, and an impact, or a consequence of executing one or more states.
5. The method for providing the explainable agent of claim 1, wherein the one or more explainable models comprise an iterative Monte Carlo Search Tree (MCST) policy, wherein the MCST policy is configured to minimize an error between a predicted policy and an observed policy, wherein the predicted policy comprises a plurality of value targets and rewards obtained from the explainable model, and the observed policy comprises one or more value targets and rewards identified from the observed space, wherein the MCST policy is configured to provide plausibility checks.
6. The method for providing the explainable agent of claim 1, wherein the one or more explainable models are implemented across a distributed explainable architecture, wherein each of the one or more explainable models is trained and operated independently.
7. The method for providing the explainable agent of claim 1, wherein an explainable model in the one or more explainable models implements an audit system log, and wherein the explainable model is implemented and verified by on a combination of systems based on one or more of the Temporal Logic of Actions, Abstract Machine Notation, Petri Nets, and Computation Tree Logic and further comprising storing the audit system log on a system of record, distributed ledger technology, or a tamper-proof and traceable database, wherein the audit system log is configured to preserve personal data and information with respect to data privacy using differential, secure multi-party computation, federated, and homomorphic solutions.
8. The method for providing the explainable agent of claim 1, wherein an explainable model in the one or more explainable models is represented by a Resource Description Framework (RDF) tree, RDF graph, hypergraph structure or a simplicial complex.
9. The method for providing the explainable agent of claim 1, wherein the observed space comprises input data comprising one or more of 2D data, 3D data, multi-dimensional data arrays, transactional data, time series, digitized samples, sensor data, image data, hyper-spectral data, natural language text, video data, audio data, haptic data, LIDAR data, RADAR data, SONAR data, and navigational data, and wherein one or more datapoints have an associated label indicating an output value or classification for the datapoints or for a continuous or non-continuous interval of datapoints;
wherein the observed space is configured to generate one or more realistic environmental simulations comprising one or more virtual reality simulations, augmented reality simulations, virtual collaboration spaces, educational spaces, training environments, and metaverses;
wherein the generated one or more realistic environmental simulations provide data samples to said at least one XRL agent in relation to the environment for experience learning; and
wherein the data samples are processed with at least one secure traceable digital code, distributed ledger entry, or non-fungible token.
10. The method for providing the explainable agent of claim 1, wherein an explainable model in the one or more explainable models is implemented on a hardware comprising at least one of: a flexible architectures or field programmable gate array, a static architecture or application specific integrated circuit, analog or digital electronics, photo-electronics, optical processors, neuromorphic architectures, spintronics, or memristors, discrete computing components, spiking neurons, robotic hardware, autonomous vehicles, industrial control hardware, or quantum computing hardware, and further comprising applying a quantization or hardware-oriented compression technique on the hardware.
11. The method for providing the explainable agent of claim 1, wherein the one or more explainable models implement an explainable generative adversarial imitation learning method on an explainable generative adversarial network to train an occupancy measure of a policy to be as close as possible to an occupancy measure of a policy of an expert.
12. The method for providing the explainable agent of claim 1, further comprising injecting a human-defined rule into the one or more explainable models, wherein the human-defined rule comprises a fixed modification to one or more of the internal coefficients and verifying the model interpretation against a specification of desired behavior comprising at least one safety assurance, and wherein the human-defined rule is static.
13. The method for providing the explainable agent of claim 1, wherein one or more rules from the one or more explainable models comprise quantum extensions configured to interpret quantum annealing effects using one or more qubit states, qubit basis states, mixed states, Ancilla bits, and wherein the one or more explainable models comprise at least one quantum controlled not gate, controlled-swap gate, Ising gate, Pauli gate, Hadamard gate, or Toffoli gate.
14. The method for providing the explainable agent of claim 1, further comprising using at least a selection of the one or more explainable models to form an explanation structure model (ESM) comprising the at least the selection of the one or more explainable models, a statistical structural model which models a plurality of statistical relationships, a causal structural model (CSM), the CSM modeling a plurality of causal relationships, and a symbolic structural model, the symbolic structural model modeling a plurality of symbolic and logical relationships formed as one or more rules and/or symbolic logic, wherein one or more statistical, causal, symbolic, or logical relationships are modeled as an anchor component, and further comprising implementing an explanation interpretation generation system (EIGS) and/or an explanation filter interpretation configured to output an explanation output template (EOT).
15. The method for providing the explainable agent of claim 1, further comprising implementing one or more action and policy rules using at least one digital-analogue hybrid system, optical system, quantum entangled system, bio-electrical interface, or bio-mechanical interface.
16. The method for providing the explainable agent of claim 1, wherein the one or more explainable models implement one or more workflows, process flows, Fast Weights, Robotic Process Automation (RPA), Decision Support System (DSS), Data Lake, Root Cause Analysis (RCA), Goal-Plan-Action (GPA) system, process description, state-transition charts, Petri networks, electronic circuits, logic gates, optical circuits, digital-analogue hybrid circuits, bio-mechanical interfaces, bio-electrical interface, and quantum circuits.
17. The method for providing the explainable agent of claim 1, wherein the at least one explanation further comprises at least one of a basic interpretation, an explanatory interpretation, and a meta-explanatory interpretation, and a neuro-symbolic conditional constraint with a rate of activations in order to constrain the rate of trigger activation with respect to an explainable model, wherein the neuro-symbolic conditional constraint is implemented as symbolic rules or system of symbolic expressions, polynomial expressions, conditional and non-conditional probability distributions, joint probability distributions, state-space and phase-space transforms, integer/real/complex/quaternion/octonion transforms, Fourier transforms, Walsh functions, Haar and non-Haar wavelets, generalized L2 functions, fractal-based transforms, Hadamard transforms, Type 1 and Type 2 fuzzy logics, difference analyses, and knowledge graph networks.
18. The method for providing the explainable agent of claim 1, wherein the one or more explainable models further comprise one or more conditional constraints configured to trigger one or more of the actions, and wherein the one or more explainable models forms a behavioral model or a behavioral model hierarchy.
19. The method for providing the explainable agent of claim 1, further comprising:
forming a predictive function from the one or more explainable models and observed space;
using the predictive function, predicting one or more future states corresponding to one or more states;
comparing the predicted future states with one or more of the observed states to calculate a plausibility value.
20. The method for providing the explainable agent of claim 1, further comprising predicting an expected behavior of one or more other agents or models for at least one of:
self-training against a simulated environment,
self-training using interventional actions against a simulated environment,
active learning against a live environment,
active learning using interventional actions against a live environment,
mimic learning, and
experience learning.
21. The method for providing the explainable agent of claim 1, further comprising predicting, using one of the one or more explainable models, an expected behavior of one other explainable model from the one or more explainable models, and making independent decisions and optimizations based on a combination of local and global environments and explanations.
22. The method for providing the explainable agent of claim 1, wherein the one or more explainable models further comprise a Markov Decision Process or Partially Observable Markov Decision Process.
23. The method for providing the explainable agent of claim 1, wherein each explainable state-action pair identifies a state, an explanation of the state, and an associated action based on the explanation of the state and further comprising returning at least one action from the explainable state-action pairs, wherein the action is identified based on an explanation associated with one or more states.
24. The method for providing the explainable agent of claim 1, wherein the explanations comprise scenario-based explanations associated with a what-if, what-if-not, counterfactual, but-for, and conditional scenarios for generating explained strategies and scenario-based explanations in accordance with the actions and decisions of the explainable agent; and/or
wherein the explainable agent is trained to learn suggested actions for a given user with a specific context leading to a change in decision outcome and minimizing total cost of actions, wherein the total costs is an amalgamation of one or more costs associated with each variable based on a metric for each type of cost; and/or
wherein the scenario-based explanations in relation to use of a nearest-neighbor method, Identify-Assess-Recommend-Resolve (IAR) framework, Multiple Objective Optimization (MOO), Pareto Front Method, Particle Swarm Optimization (PSO), Genetic Algorithms (GA), Bayesian Optimization, Evolutionary Strategies, Gradient Descent techniques and Monte Carlo Simulation (MCS).
25. The method for providing the explainable agent of claim 1, further comprising identifying a connection between a data point in the sequential input data and a state and/or action.
26. The method for providing the explainable agent of claim 1, further comprising forming a policy, the policy representing an explainable mapping of states and corresponding actions;
monitoring another model in order to detect an anomalous behavior, detecting one or more instances of data drift and Out-of-Distribution (OOD) instances, detecting a plurality of abnormal deviations from one or more nominal operational cycles, analyzing and assessing a behavior of the one or more models under OOD and anomalous instances, variation, deviation, performance and resource usage monitoring, Nyquist plots, Bode plots, phase-space, and an industry-specific monitoring activity.
27. The method for providing the explainable agent of claim 1, further comprising updating the plurality of explainable state-action pairs by applying at least one of a Bellman equation, an explainable multi-stage optimization technique, an explainable temporal difference optimization technique, and an explainable multi-stage dynamic programming technique.
28. The method for providing the explainable agent of claim 1, further comprising returning at least one of: an explainable action, or an interpretation corresponding to at least one of a state, a reward and one or more partitions in a partition structure, by applying a combination of abductive logic, inductive logic, deductive logic and causal logic.
29. The method for providing the explainable agent of claim 1, further comprising sending the input data to a model, wherein the model is explainable or interpretable and wherein the model is part of an explanation interpretation generation system, and identifying at least one of an answer, a model explanation, and a justification of the answer;
producing an explanation scaffolding, iteratively processing and evaluating the explanation scaffolding to generate a candidate explanation;
applying a filter or transform to convert the explanation scaffolding into an interpretation scaffolding; and
producing an interpretation of the answer using an interpreter module and the interpretation scaffolding.
30. The method for providing the explainable agent of claim 1, wherein an explainable architecture is implemented to represent an explainable Bellman equation defining a Q-value, wherein the explainable state-action pairs and a Bellman equation are used to form the explainable Bellman equation, and wherein the Q-value is minimized by comparing the Q-value with a static scalar value or a dynamic value computed from a difference function based on the Q-value and one or more Q-learning weights associated with the explainable Bellman equation, and wherein a regularization weight is applied to the explainable Bellman equation.</t>
  </si>
  <si>
    <t>Dalli, Angelo|Pirrone, Mauro|Grech, Matthew</t>
  </si>
  <si>
    <t>US11455576 B2</t>
  </si>
  <si>
    <t>G06N0003080000 | G06N0020000000 | G06N0007005000 | G06N0003042700 | G06N0003045400 | G06N0003047200 | G09B0009000000</t>
  </si>
  <si>
    <t>G06N02000000 | G09B00900000</t>
  </si>
  <si>
    <t>US20220147876A1|WO2022101452A1|US11455576B2</t>
  </si>
  <si>
    <t>WO2022101452 A1 | US11455576 B2 | US20220147876 A1</t>
  </si>
  <si>
    <t>I-000224978454</t>
  </si>
  <si>
    <t>Application expired due to grant (US11455576 B2)</t>
  </si>
  <si>
    <t>https://patentscout.innography.com/share/TOQT2CdOVLfyLceI334TpA%3D%3D</t>
  </si>
  <si>
    <t>2020-11-12-ASSIGNMENT (UMNAI LIMITED)|2021-11-12-FEE PAYMENT PROCEDURE|2022-03-25-INFORMATION ON STATUS: PATENT APPLICATION AND GRANTING PROCEDURE IN GENERAL|2022-07-06-INFORMATION ON STATUS: PATENT APPLICATION AND GRANTING PROCEDURE IN GENERAL|2022-07-26-INFORMATION ON STATUS: PATENT APPLICATION AND GRANTING PROCEDURE IN GENERAL|2022-09-07-INFORMATION ON STATUS: PATENT GRANT</t>
  </si>
  <si>
    <t>https://patentscout.innography.com/share/TOQT2CdOVLfyLceI334TpA%3D%3D/download</t>
  </si>
  <si>
    <t>https://ppubs.uspto.gov/pubwebapp/external.html?q=20220147876.pn.</t>
  </si>
  <si>
    <t>US20220147876 A1</t>
  </si>
  <si>
    <t>1. A method for providing an explainable agent for estimating an explainable reward function, comprising:
acquiring an observed space comprising one or more states and one or more actions and modeling the observed space as a plurality of explainable state-action pairs;
forming one or more explainable models comprising a simulated environment and a reward function;
returning at least one explanation from at least one of the one or more explainable models corresponding to at least one state and at least one reward.</t>
  </si>
  <si>
    <t>The invention claims a flexible wearable device supply chain management system based on universe and method thereof comprising: a meta-space platform virtual assembling module a supplier end a user end; the meta-space platform virtual assembly module comprises: a memory; the memory stores a data processing program; processor configured to execute the data processing program to execute the universe platform virtual assembling module supplier terminal user terminal interaction response; The method of supply chain management established by the meta-space platform breaks through the space limitation of the user and the supplier; scene type experience to increase the user purchase experience freely assembling model the wearable device and the user fitness and practicability at the same time the supplier effectively collects the user individual data through the universe platform the user wearable device is revised according to the actual requirement effectively improving the wearable device and the user matching degree.</t>
  </si>
  <si>
    <t>A flexible wearable device supply chain management system based on universe and method thereof</t>
  </si>
  <si>
    <t>Shenzhen Rouling Technology Co., Ltd.</t>
  </si>
  <si>
    <t>SHENZHEN ROULING TECHNOLOGY CO., LTD.</t>
  </si>
  <si>
    <t>CN202210926275A</t>
  </si>
  <si>
    <t>1. A flexible wearable device supply chain management system based on universe, wherein it comprises: a meta-space platform virtual assembling module, a supplier end, a user end; the meta-space platform virtual assembly module comprises: a memory; the memory stores a data processing program; processor, configured to execute the data processing program to execute the universe platform virtual assembling module, supplier terminal, user terminal interaction response; the universe platform virtual assembling module is used for receiving the virtual components uploaded by the supplier end modeling and storing in the memory, classifying the virtual components by the classifying module to facilitate user search; and the user obtains the virtual components needed by the classification retrieval, assembling the virtual wearable device of the needed functional component according to the need; and the user finishes the virtual wearable device after finishing the payment automatic generating order link, the universe platform virtual assembling module transmits the order link to the supplier end production line for customized production or based on inventory selection, Including: a scene module, a supply module, a purchasing module and a post-selling module; the supplier terminal is used for supplier login the universe platform virtual assembling module, creating supplier basic information, and supplier modeling uploading component to the universe platform virtual assembling module, receiving the virtual wearable device order link of the user assembling finished by the universe platform virtual assembling module, obtaining the virtual device composed of virtual wearable device assembled by the user in the order link and functional component, customizing production wearable device corresponding to the production line, or selecting the corresponding wearable device corresponding to the user based on inventory, delivering to the user through logistics; the user terminal is used for establishing the user basic information by the user login the universe platform virtual assembling module, and entering the meta-space platform virtual assembling module, according to the self requirement, searching the needed virtual component and function component through the classifying module, after assembling the virtual wearable device for payment automatic generating order link.</t>
  </si>
  <si>
    <t>1. A flexible wearable device supply chain management system based on universe, wherein it comprises: a meta-space platform virtual assembling module, a supplier end, a user end; the meta-space platform virtual assembly module comprises: a memory; the memory stores a data processing program; processor, configured to execute the data processing program to execute the universe platform virtual assembling module, supplier terminal, user terminal interaction response; the universe platform virtual assembling module is used for receiving the virtual components uploaded by the supplier end modeling and storing in the memory, classifying the virtual components by the classifying module to facilitate user search; and the user obtains the virtual components needed by the classification retrieval, assembling the virtual wearable device of the needed functional component according to the need; and the user finishes the virtual wearable device after finishing the payment automatic generating order link, the universe platform virtual assembling module transmits the order link to the supplier end production line for customized production or based on inventory selection, Including: a scene module, a supply module, a purchasing module and a post-selling module; the supplier terminal is used for supplier login the universe platform virtual assembling module, creating supplier basic information, and supplier modeling uploading component to the universe platform virtual assembling module, receiving the virtual wearable device order link of the user assembling finished by the universe platform virtual assembling module, obtaining the virtual device composed of virtual wearable device assembled by the user in the order link and functional component, customizing production wearable device corresponding to the production line, or selecting the corresponding wearable device corresponding to the user based on inventory, delivering to the user through logistics; the user terminal is used for establishing the user basic information by the user login the universe platform virtual assembling module, and entering the meta-space platform virtual assembling module, according to the self requirement, searching the needed virtual component and function component through the classifying module, after assembling the virtual wearable device for payment automatic generating order link.2. The flexible wearable device supply chain management system based on universe according to claim 1, wherein the universe virtual assembling module comprises: a scene module, used for the user to enter the universe platform virtual assembling module to select the needed virtual component and functional component when presenting the scene, the scene is synchronously presented to the user terminal; a purchasing module for recording the user basic information, the user input comprises not limited to personal name, receiving address, payment account and contact way, the universe platform virtual assembling module is assembled into the order link of the virtual wearable device by the user to call the information; a supply module for recording supplier basic information, the supplier input comprises not limited to supplier name, address, contact way, payment account and supplier introduction, the universe platform virtual assembly module is assembled into the order link of the virtual wearable device by the user to call the information; order link, comprising a user finishing virtual wearable device comprises a virtual component and a function component, information payment and calling the basic information of the purchasing module and a supply module, and supplier through logistics distribution information and the user receiving wearable device evaluation information; after-sale module, used for obtaining the supply module order link execution information and logistics distribution information, and the execution information is attached to the order link, according to rule to execute information progress violation processing; and obtaining the user receiving wearable device evaluation information, processing the evaluation information according to the rule, and attached to the order link.3. The flexible wearable device supply chain management system based on metaverse according to claim 1, wherein the universe virtual assembly module, supplier terminal, user terminal is further provided with a communication module for the universe virtual assembly module, supplier terminal, user terminal interaction response.4. The flexible wearable device supply chain management system based on universe according to claim 1, wherein the user terminal comprises not limited to VR head display, AR glasses, user, user login universe virtual assembling module obtains the interface in the user reality world for presentation, at the same time, the user through comprises not limited to gesture, the pupil components in the virtual assembling module of the voice to the universe virtual assembling module for assembling the needed function component, the mode of the command comprises not limited, selecting, deleting, moving, determining, scaling and storing.5. The flexible wearable device supply chain management system based on universe according to claim 1, wherein the provider end modeling uploading virtual components in the universe virtual assembly module, which can be edited, the editing comprises not limited to shape, size, material, price, number parameter.6. The flexible wearable device supply chain management system based on universe according to claim 1, wherein the provider end establishes a selectable function component for the uploaded virtual component, the function component comprises not limited to blood pressure, blood oxygen, body temperature and gesture recognition.7. A flexible wearable device supply chain management method based on universe, wherein it comprises the following steps: 1) the supplier end login the universe platform virtual assembling module, entering the supply module creating the supplier basic information; 2) supplier modeling uploading component to the universe platform virtual assembling module, the universe platform virtual assembling module classifying module for classifying the virtual components; 3) the user login the universal platform virtual assembly module, the purchase module creating user basic information; 4) the user searches the needed virtual components and functional components through the classification module according to the self requirement, the virtual components and the functional components are assembled by the virtual wearable device; the virtual wearable device is assembled, user to pay, automatically generating order link; 5) the universe platform virtual assembly sends the order link to the supplier terminal, the supplier obtains the user assembly in order to finish the virtual wearable device corresponding to the production line to customize the wearable device, or based on the inventory, selecting the corresponding wearable device corresponding to the user, 6) the provider end the wearable device through the logistics distribution to the user, the user receives the wearable device or selecting the transaction in the order link evaluation.8. The flexible wearable device supply chain management method based on meta-universe according to claim 7, wherein the specific method of the virtual wearable device assembly is as follows: the user searches through the universe platform virtual assembling module classification module, selecting the virtual components suitable for itself, the selected virtual components are synchronously presented at the user end real field of view; The user selects a functional component required by the virtual component according to the selected virtual component, such as: blood pressure, blood oxygen, body temperature, gesture recognition; the user selects or deletes or replaces the matched functional component, finally the selected virtual component and functional component are stored, generating the assembled virtual wearable device.</t>
  </si>
  <si>
    <t>Chen, Han|Wan, Li|Wang, Haitao</t>
  </si>
  <si>
    <t>G06Q03006000 | G06F00301000 | G06Q01008000 | G06Q02038000</t>
  </si>
  <si>
    <t>CN115239435A</t>
  </si>
  <si>
    <t>CN115239435 A</t>
  </si>
  <si>
    <t>I-000231544615</t>
  </si>
  <si>
    <t>https://patentscout.innography.com/share/DfNNdNh36dKo4qT52iVK2w%3D%3D</t>
  </si>
  <si>
    <t>2022-10-25-PUBLICATION|2022-11-11-ENTRY INTO FORCE OF REQUEST FOR SUBSTANTIVE EXAMINATION</t>
  </si>
  <si>
    <t>https://patentscout.innography.com/share/DfNNdNh36dKo4qT52iVK2w%3D%3D/download</t>
  </si>
  <si>
    <t>https://v3.espacenet.com/publicationDetails/biblio?CC=CN&amp;NR=115239435A&amp;KC=A&amp;FT=D&amp;date=20221025&amp;DB=EPODOC&amp;locale=</t>
  </si>
  <si>
    <t>1.  1.  A flexible wearable device supply chain management system based on universe, wherein it comprises: a meta-space platform virtual assembling module, a supplier end, a user end; the meta-space platform virtual assembly module comprises: a memory; the memory stores a data processing program; processor, configured to execute the data processing program to execute the universe platform virtual assembling module, supplier terminal, user terminal interaction response; the universe platform virtual assembling module is used for receiving the virtual components uploaded by the supplier end modeling and storing in the memory, classifying the virtual components by the classifying module to facilitate user search; and the user obtains the virtual components needed by the classification retrieval, assembling the virtual wearable device of the needed functional component according to the need; and the user finishes the virtual wearable device after finishing the payment automatic generating order link, the universe platform virtual assembling module transmits the order link to the supplier end production line for customized production or based on inventory selection, Including: a scene module, a supply module, a purchasing module and a post-selling module; the supplier terminal is used for supplier login the universe platform virtual assembling module, creating supplier basic information, and supplier modeling uploading component to the universe platform virtual assembling module, receiving the virtual wearable device order link of the user assembling finished by the universe platform virtual assembling module, obtaining the virtual device composed of virtual wearable device assembled by the user in the order link and functional component, customizing production wearable device corresponding to the production line, or selecting the corresponding wearable device corresponding to the user based on inventory, delivering to the user through logistics; the user terminal is used for establishing the user basic information by the user login the universe platform virtual assembling module, and entering the meta-space platform virtual assembling module, according to the self requirement, searching the needed virtual component and function component through the classifying module, after assembling the virtual wearable device for payment automatic generating order link.</t>
  </si>
  <si>
    <t>7.  7.  A flexible wearable device supply chain management method based on universe, wherein it comprises the following steps: 1 ) the supplier end login the universe platform virtual assembling module, entering the supply module creating the supplier basic information; 2 ) supplier modeling uploading component to the universe platform virtual assembling module, the universe platform virtual assembling module classifying module for classifying the virtual components; 3 ) the user login the universal platform virtual assembly module, the purchase module creating user basic information; 4 ) the user searches the needed virtual components and functional components through the classification module according to the self requirement, the virtual components and the functional components are assembled by the virtual wearable device; the virtual wearable device is assembled, user to pay, automatically generating order link; 5 ) the universe platform virtual assembly sends the order link to the supplier terminal, the supplier obtains the user assembly in order to finish the virtual wearable device corresponding to the production line to customize the wearable device, or based on the inventory, selecting the corresponding wearable device corresponding to the user, 6 ) the provider end the wearable device through the logistics distribution to the user, the user receives the wearable device or selecting the transaction in the order link evaluation.</t>
  </si>
  <si>
    <t>EP1769735 B1 | US5015228 A | US5338308 A | US5441490 A | US5527288 A | US5636640 A | US5680872 A | US5848991 A | US5997501 A | US6234980 B1 | US6500150 B1 | US6524284 B1 | US6623457 B1 | US6689118 B2 | US6776776 B2 | US6960193 B2 | US6994691 B2 | US7651475 B2 | US8048019 B2 | US8066680 B2 | US8206336 B2 | US8246582 B2 | US8409140 B2 | US8512244 B2 | US8556861 B2 | US8622963 B2 | US8696637 B2 | US8715232 B2 | US8870821 B2 | US9022973 B2 | US9089677 B2 | US9227021 B2 | US9504813 B2 | US9522225 B2 | US9566393 B2 | US9724462 B2 | US9770578 B2 | US9968767 B1 | US10016315 B2 | US10598583 B1 | US10888259 B2 | US20020077584 A1 | US20020193740 A1 | US20040059256 A1 | US20040059366 A1 | US20040106904 A1 | US20050118388 A1 | US20060047243 A1 | US20060068490 A1 | US20070004989 A1 | US20070191696 A1 | US20080003274 A1 | US20080287864 A1 | US20090012472 A1 | US20090036826 A1 | US20090259176 A1 | US20110060280 A1 | US20110245635 A1 | US20120016308 A1 | US20120041338 A1 | US20120123297 A1 | US20120277629 A1 | US20120277697 A1 | US20130018279 A1 | US20130158468 A1 | US20140194854 A1 | US20140305823 A1 | US20140309555 A1 | US20140336616 A1 | US20150073385 A1 | US20150258272 A1 | US20160067468 A1 | US20160199581 A1 | US20160213295 A1 | US20160256095 A1 | US20160324506 A1 | US20160354589 A1 | US20170014822 A1 | US20170021067 A1 | US20170035337 A1 | US20170035975 A1 | US20170043103 A1 | US20170197029 A1 | US20170224912 A1 | US20170290977 A1 | US20180008808 A1 | US20180021559 A1 | US20180103884 A1 | US20180126058 A1 | US20180242890 A1 | US20180243543 A1 | US20180296148 A1 | US20190000365 A1 | US20190001076 A1 | US20190015584 A1 | US20190030260 A1 | US20190142318 A1 | US20190209820 A1 | US20190366067 A1 | US20210030975 A1 | WO2015072924 A1 | WO2019067567 A1 | US20200009364 A1 | US20200085414 A1 | US20200101219 A1 | US20200253521 A1</t>
  </si>
  <si>
    <t>2021-11-08</t>
  </si>
  <si>
    <t>2041-11-08</t>
  </si>
  <si>
    <t>A dermal patch for collecting a physiological sample includes a housing with a collection chamber a sample channel and a pin within a receptacle of the housing. The sample channel is configured to direct a physiological sample drawn from a subject to the collection chamber. The pin is removably positioned within the receptacle and is configured to move from an undeployed position to a deployed position. The pin is configured to seal the receptacle when in the undeployed position and is further configured to facilitate generation of negative pressure in the sample channel when the pin is moved from the undeployed to the deployed position.</t>
  </si>
  <si>
    <t>Dermal patch for collecting a physiological sample</t>
  </si>
  <si>
    <t>Satio, Inc.</t>
  </si>
  <si>
    <t>US17/521466</t>
  </si>
  <si>
    <t>MAY A ABOUELELA</t>
  </si>
  <si>
    <t xml:space="preserve">A dermal patch for collecting a physiological sample, comprising:
a housing including:
a collection chamber,
a sample channel configured to direct a physiological sample drawn from a subject to the collection chamber,
a pin removably positioned in a receptacle of the housing wherein the pin is disposed configured to seal the receptacle when the pin is disposed within the recepticle and further configured to facilitate generation of negative pressure in the sample channel when the pin is removed from the receptacle.
</t>
  </si>
  <si>
    <t>1. A dermal patch for collecting a physiological sample, comprising:
a housing including:
a collection chamber,
a sample channel configured to direct a physiological sample drawn from a subject to the collection chamber,
a pin removably positioned in a receptacle of the housing wherein the pin is disposed configured to seal the receptacle when the pin is disposed within the recepticle and further configured to facilitate generation of negative pressure in the sample channel when the pin is removed from the receptacle.
2. The dermal patch of claim 1, wherein the housing includes an opening covered by a septum, wherein the septum is configured to be punctured by a lancet to allow access to the subject's skin when the dermal patch is adhered to the subject's skin.
3. The dermal patch of claim 1, wherein the housing further includes a fluid pouch that stores a processing fluid.
4. The dermal patch of claim 3, wherein the processing fluid includes an anti-coagulant.
5. The dermal patch of claim 4, wherein the anti-coagulant is heparin or a protease inhibitor.
6. The dermal patch of claim 3, wherein the processing fluid includes a reagent or a buffer.
7. The dermal patch of claim 3, further comprising:
a slider coupled to the housing and configured to move from an undeployed position to a deployed position, wherein in the deployed position the slider releases the processing fluid from the fluid pouch.
8. The dermal patch of claim 7, wherein the housing further includes a processing fluid channel configured to direct the released processing fluid to the collection chamber.
9. The dermal patch of claim 1, further comprising:
a detector in communication with the collection chamber, wherein the detector is configured to generate a signal indicative of a presence of a target analyte.
10. The dermal patch of claim 9, wherein the target analyte includes a biomarker.
11. The dermal patch of claim 10, wherein the biomarker is troponin, brain natriuretic peptide (BnP), myelin basic protein (MBP), ubiquitin carboxyl-terminal hydrolase isoenzyme L1 (UCHL-1), neuron-specific enolase (NSE), glial fibrillary acidic protein (GFAP), S100-B, Cardiac troponin I protein (cTn1), Cardiac troponin T protein (cTnT), C-reactive protein (CRP), B-type natriuretic peptide (BNP), Myeloperoxidase, Creatine kinase MB, Myoglobin, Hemoglobin, or HbA1C.
12. The dermal patch of claim 9, wherein the detector includes a lateral flow detector, an electrochemical detector, or a graphene-based detector.
13. The dermal patch of claim 1, wherein the physiological sample includes blood or interstitial fluid.
14. The dermal patch of claim 1, further comprising:
an absorbent element disposed in the collection chamber configured to absorb at least a portion of the physiological sample.
15. The dermal patch of claim 14, wherein the absorbent element includes a nitrocellulose strip.
16. The dermal patch of claim 14, wherein the absorbent element includes a filter paper matrix.
17. The dermal patch of claim 1, further comprising:
an adhesive layer configured for attaching the dermal patch to the subject's skin.
18. The dermal patch of claim 1, further comprising:
a computer system, wherein the computer system is configured to connect to a metaverse.
19. The dermal patch of claim 1, further comprising:
a quick reference code.
20. The derma; patch of claim 19, wherein the quick reference code is associated with an electronic medical record.</t>
  </si>
  <si>
    <t>Nawana, Namal|Al-shamsie, Ziad Tarik</t>
  </si>
  <si>
    <t>A61B0005150099</t>
  </si>
  <si>
    <t>A61B0005150099 | A61F0013840000 | A61B0005150206 | A61B0005150366 | A61B0005150755 | A61F2013847300</t>
  </si>
  <si>
    <t>A61B00500000</t>
  </si>
  <si>
    <t>A61B00500000 | A61B00515000 | A61F01384000</t>
  </si>
  <si>
    <t>033514100</t>
  </si>
  <si>
    <t>US11510602B1</t>
  </si>
  <si>
    <t>$20250</t>
  </si>
  <si>
    <t>US11510602 B1</t>
  </si>
  <si>
    <t>I-000232336073</t>
  </si>
  <si>
    <t>20 years from 2021-11-08 (file date)</t>
  </si>
  <si>
    <t>https://patentscout.innography.com/share/cBPcor8qBTHlJpkiTGYDlg%3D%3D</t>
  </si>
  <si>
    <t>2021-11-08-FEE PAYMENT PROCEDURE|2021-11-17-ASSIGNMENT (NEOENTA LLC)|2021-11-18-FEE PAYMENT PROCEDURE|2021-12-16-ASSIGNMENT (SATIO, INC.)|2022-11-09-INFORMATION ON STATUS: PATENT GRANT</t>
  </si>
  <si>
    <t>https://patentscout.innography.com/share/cBPcor8qBTHlJpkiTGYDlg%3D%3D/download</t>
  </si>
  <si>
    <t>https://ppubs.uspto.gov/pubwebapp/external.html?q=11510602.pn.</t>
  </si>
  <si>
    <t>1. A dermal patch for collecting a physiological sample, comprising:
a housing including:
a collection chamber,
a sample channel configured to direct a physiological sample drawn from a subject to the collection chamber,
a pin removably positioned in a receptacle of the housing wherein the pin is disposed configured to seal the receptacle when the pin is disposed within the recepticle and further configured to facilitate generation of negative pressure in the sample channel when the pin is removed from the receptacle.</t>
  </si>
  <si>
    <t>2019-11-26</t>
  </si>
  <si>
    <t>2039-11-26</t>
  </si>
  <si>
    <t>2021-05-27</t>
  </si>
  <si>
    <t>The invention relates to a method and system for transferring a product having an identifiable chip with unique identifier information relating to a digital asset accessible in a network. The method comprises the steps of: associating a cryptographic token with the unique identifier information of the identifiable chip; storing the cryptographic token via the network in a wallet as the digital as-set; transferring the digital asset comprises blocking the cryptographic token until an authentication signal is received associated with the unique identifier in-formation of the identifiable chip.</t>
  </si>
  <si>
    <t>Method and system for transferring a product</t>
  </si>
  <si>
    <t>Authena Ag</t>
  </si>
  <si>
    <t>AUTHENA AG</t>
  </si>
  <si>
    <t>US17/815572</t>
  </si>
  <si>
    <t xml:space="preserve">A method for transferring a product having an identifiable chip with unique identifier information relating to a digital asset accessible in a network, comprising the steps of:
associating a cryptographic token with the unique identifier information of the identifiable chip;
storing the cryptographic token via the network in a wallet as the digital asset; and
transferring the digital asset comprises blocking the cryptographic token until an authentication signal is received associated with the unique identifier information of the identifiable chip.
</t>
  </si>
  <si>
    <t>1. A method for transferring a product having an identifiable chip with unique identifier information relating to a digital asset accessible in a network, comprising the steps of:
associating a cryptographic token with the unique identifier information of the identifiable chip;
storing the cryptographic token via the network in a wallet as the digital asset; and
transferring the digital asset comprises blocking the cryptographic token until an authentication signal is received associated with the unique identifier information of the identifiable chip.
2. The method according to claim 1, wherein the step of associating comprises generating the cryptographic token by a digital platform and assigning the unique identifier information of the identifiable chip to the generated cryptographic token.
3. The method according to claim 2, wherein the step of associating comprises embedding the unique identifier information of the identifiable chip in to the cryptographic token.
4. The method according to claim 1, wherein the step of associating comprises registering the cryptographic token with a digital platform by matching the unique identifier information to the cryptographic token.
5. The method according to claim 1, wherein the unique identifier information comprises first identifier information and second identifier information, the second identifier information being associated with the cryptographic token.
6. The method according to claim 1, wherein storing the cryptographic token comprises disposing the cryptographic token in decentralized databases such as blockchain.
7. The method according to claim 1, further comprising linking the cryptographic token to a platform, where the product associated with the cryptographic token is virtually usable.
8. The method according to claim 7, wherein the platform is a metaverse.
9. The method according to claim 7, wherein the platform is an entertainment platform.
10. The method according to claim 7, wherein the platform is a gaming platform.
11. The method according to claim 7, wherein the platform is a professional platform for virtual use.
12. The method according to claim 7, wherein the platform is a professional software for virtual use.
13. The method according to claim 1, further comprising reading the unique identifier information of the identifiable chip by a first device capable of reading wirelessly readable information from the identifiable chip.
14. The method according to claim 1, further comprising releasing a second part from a first part of a product tag, thereby the identifiable chip within the product tag providing second identifier information for registration.
15. The method according to claim 14, further comprising reading the second identifier information by an electronic device.
16. The method according to claim 14, further comprising reading the second identifier information of the identifiable chip after releasing the second part by a second device.
17. The method according to claim 1, further comprising initiating by a seller transfer of the digital asset by touching a seller device to the identifiable chip thereby releasing through the authentication signal the digital asset via a digital platform.
18. The method according to claim 17, further comprising by the seller transferring of the digital asset from a seller wallet to a buyer wallet by a transfer authorization given by the seller.
19. The method according to claim 1, further comprising claiming by a buyer the digital asset upon touching a buyer device to the identifiable chip of the product.
20. The method according to claim 1, further comprising receiving by a buyer the authentication signal, upon touching a buyer device to the identifiable chip transferring ownership of the product to the buyer.
21. A system for transferring a product comprising a server, the server comprising:
a server processor configured to execute computer-readable instructions;
a server memory configured to store the computer-readable instructions that, when executed by the server processor, cause the server processor to perform operations comprising:
associating a cryptographic token with the unique identifier information of the identifiable chip;
storing the cryptographic token via the network in a wallet as the digital asset; and
transferring the digital asset comprises blocking the cryptographic token until an authentication signal is received associated with the unique identifier information of the identifiable chip.</t>
  </si>
  <si>
    <t>Panzavolta, Matteo|Milenovic, Dejan|Gaido, Fernando Rey|Tokarski, Milosz</t>
  </si>
  <si>
    <t>G06Q0020367400</t>
  </si>
  <si>
    <t>G06Q0020367400 | G06Q0010087000 | G06Q0020065000 | G06Q2220000000 | H04L0009321300 | H04L0009500000 | G06Q0030018500 | H04W0004800000</t>
  </si>
  <si>
    <t>G06Q02036000</t>
  </si>
  <si>
    <t>G06Q02036000 | G06Q02006000 | H04L00900000 | H04L00932000</t>
  </si>
  <si>
    <t>US20220391884A1</t>
  </si>
  <si>
    <t>US20210158273 A1 | US20220391884 A1</t>
  </si>
  <si>
    <t>I-000232867124</t>
  </si>
  <si>
    <t>20 years from 2019-11-26 (file date of patent US20210158273)</t>
  </si>
  <si>
    <t>https://patentscout.innography.com/share/-g6Md6RTMgRg2q05pCDhHQ%3D%3D</t>
  </si>
  <si>
    <t>2022-08-02-ASSIGNMENT (AUTHENA AG)|2022-11-27-INFORMATION ON STATUS: PATENT APPLICATION AND GRANTING PROCEDURE IN GENERAL</t>
  </si>
  <si>
    <t>https://patentscout.innography.com/share/-g6Md6RTMgRg2q05pCDhHQ%3D%3D/download</t>
  </si>
  <si>
    <t>https://ppubs.uspto.gov/pubwebapp/external.html?q=20220391884.pn.</t>
  </si>
  <si>
    <t>US20220391884 A1</t>
  </si>
  <si>
    <t>US20210158273 A1</t>
  </si>
  <si>
    <t>1. A method for transferring a product having an identifiable chip with unique identifier information relating to a digital asset accessible in a network, comprising the steps of:
associating a cryptographic token with the unique identifier information of the identifiable chip;
storing the cryptographic token via the network in a wallet as the digital asset; and
transferring the digital asset comprises blocking the cryptographic token until an authentication signal is received associated with the unique identifier information of the identifiable chip.</t>
  </si>
  <si>
    <t>21. A system for transferring a product comprising a server, the server comprising:
a server processor configured to execute computer-readable instructions;
a server memory configured to store the computer-readable instructions that, when executed by the server processor, cause the server processor to perform operations comprising:
associating a cryptographic token with the unique identifier information of the identifiable chip;
storing the cryptographic token via the network in a wallet as the digital asset; and
transferring the digital asset comprises blocking the cryptographic token until an authentication signal is received associated with the unique identifier information of the identifiable chip.</t>
  </si>
  <si>
    <t>2037-08-30</t>
  </si>
  <si>
    <t>METHOD OF VISUAL INSPECTION OF TANKS / CONFINED SPACES FOR THE STORAGE OF DIESEL GASOLINE CHEMICALS OR RELATED. It is a method of visual inspection (100) of diesel storage tanks (TQ) gasoline chemicals or related or other similar confined locations; said inspection method (100) is formed by integrated steps (i) robotized visual inspection step (110) comprised of sub-steps such as visual inspection (111) of the side (TQ1) of the tank (TQ) visual inspection (112) of the bottom (TQ2) of the tank (TQ) and visual inspection (113) of the tank ceiling (TQ3) (TQ); (ii) ultrasonic inspection step (120) of the bottom (TQ2) of the tank (TQ) for mapping; (iii) image processing step (130); the integration between steps 110 120 and 130 comprises the remote visual inspection (VR) of the interior of the storage tanks (TQ) or other confined spaces.</t>
  </si>
  <si>
    <t>Method of visual inspection of tanks / confined spaces for the storage of diesel, gasoline, chemicals or related</t>
  </si>
  <si>
    <t>Mario Augusto Martinez</t>
  </si>
  <si>
    <t>BR102022017385A</t>
  </si>
  <si>
    <t>CLAIMS1) VISUAL INSPECTION METHOD OF CONFINED TANKS / SPACES OF STORAGE OF DIESEL, GASOLINE, CHEMICALS OR CORRELATES, deals with a method of visual inspection (100) of tanks (TQ) for the storage of diesel, gasoline, chemicals or correlates, or other similar confined locations; characterized in that the inspection method (100) is formed by integrated steps, (i) a robotic visual inspection step (110) comprised of sub-steps such as visual inspection (111) of the side (TQ1) of the tank (TQ), visual inspection (112) of the bottom (TQ2) of the tank (TQ) and visual inspection (113) of the tank ceiling (TQ3) (TQ); -robotic visual inspection step (110)-at this stage the insertion of an optical scanner (200) for confined spaces, such as storage tanks (TQ) with a minimum visit nozzle of 18 and whose camera (201) has a resolution of 1 mm to 9m of distance and integrated computer program (SF1) for dimensioning of anomalies (AN), said optical scanner (200) acting in accordance with the following sub-steps: (a) visual inspection sub-step (111) of the side (TQ1)-first, the optical scanner (200) is inserted into the visiting nozzle (BV) of the storage tank (TQ) through a probe (SD) supported by a tripod (TP) arranged on a platform near the visiting nozzle (BV) initiating the image capture (II) of up to 18 megapixel-MP-or videos (VI) with 4K recording of the entire side (TQ1) of the tank (TQ); the probe (SD) automatically conducts the optical scanner (200) gradually performing radial capture (CRI) of Petition 870220078431, of 08/30/2022, p. 13/23 2/3 setorized mode (Sl) of the side (TQ1), until it is fully registered and whose images (II) and videos (VI) are sent to a central (300); (b) visual inspection sub-step (112) of the background (TQ2)-after capturing images (II) and videos (VI) from the side (TQ1), the optical scanner (200) is tilted to capture the edges and bottom (TQ2) of the tank (TQ), said images (12) and / or videos (V2) being directed to the central (300); (c) visual inspection sub-step (113) of the ceiling (TQ3)-with the optical scanner (200) positioned at the bottom (TQ2) of the tank (TQ), the same is rotated, in order to capture images (13) and videos (V3) of the storage tank ceiling (TQ3) (TQ) and with an average time of 20 minutes for the completion of all sub-steps in tanks (TQ) of 4m in diameter and 5m in height;-ultrasonic inspection step (120) of the bottom (TQ2)- in this step an ultrasonic scanner (400) is used to investigate background irregularities (TQ2); (a) sub-step of mapping (121) of the background (TQ2)-after insertion of the ultrasonic scanner (400) into the bottom (TQ2) of the storage tank (TQ) through the visiting nozzle (BV), the test is started, in order to identify through an embedded computer program (SF2) various conditions such as calculating the background corrosion rate (TQ2), calculating the tank life (TQ), among other requirements provided in the American standard API 653 according to images (14) and / or videos (V4) captured with an average time of 45 minutes to finalize the inspection in storage tanks of (TQ) 4 m in diameter and 5 m high; ultrasonic scanner (400) are analyzed in the central (300) and the collected data (Dl) Petition 870220078431, of 08/30/2022, p. 14/23 3/3 finalize the inspection method (100) and validate the remote visual inspection (VR).</t>
  </si>
  <si>
    <t>1) VISUAL INSPECTION METHOD OF CONFINED TANKS / SPACES OF STORAGE OF DIESEL, GASOLINE, CHEMICALS OR CORRELATES, deals with a method of visual inspection (100) of tanks (TQ) for the storage of diesel, gasoline, chemicals or correlates, or other similar confined locations; characterized in that the inspection method (100) is formed by integrated steps, (i) a robotic visual inspection step (110) comprised of sub-steps such as visual inspection (111) of the side (TQ1) of the tank (TQ), visual inspection (112) of the bottom (TQ2) of the tank (TQ) and visual inspection (113) of the tank ceiling (TQ3) (TQ); -robotic visual inspection step (110)-at this stage the insertion of an optical scanner (200) for confined spaces, such as storage tanks (TQ) with a minimum visit nozzle of 18 and whose camera (201) has a resolution of 1 mm to 9m of distance and integrated computer program (SF1) for dimensioning of anomalies (AN), said optical scanner (200) acting in accordance with the following sub-steps: (a) visual inspection sub-step (111) of the side (TQ1)-first, the optical scanner (200) is inserted into the visiting nozzle (BV) of the storage tank (TQ) through a probe (SD) supported by a tripod (TP) arranged on a platform near the visiting nozzle (BV) initiating the image capture (II) of up to 18 megapixel-MP-or videos (VI) with 4K recording of the entire side (TQ1) of the tank (TQ); the probe (SD) automatically conducts the optical scanner (200) gradually performing radial capture (CRI) of Petition 870220078431, of 08/30/2022, p. 13/23 2/3 setorized mode (Sl) of the side (TQ1), until it is fully registered and whose images (II) and videos (VI) are sent to a central (300); (b) visual inspection sub-step (112) of the background (TQ2)-after capturing images (II) and videos (VI) from the side (TQ1), the optical scanner (200) is tilted to capture the edges and bottom (TQ2) of the tank (TQ), said images (12) and / or videos (V2) being directed to the central (300); (c) visual inspection sub-step (113) of the ceiling (TQ3)-with the optical scanner (200) positioned at the bottom (TQ2) of the tank (TQ), the same is rotated, in order to capture images (13) and videos (V3) of the storage tank ceiling (TQ3) (TQ) and with an average time of 20 minutes for the completion of all sub-steps in tanks (TQ) of 4m in diameter and 5m in height;-ultrasonic inspection step (120) of the bottom (TQ2)- in this step an ultrasonic scanner (400) is used to investigate background irregularities (TQ2); (a) sub-step of mapping (121) of the background (TQ2)-after insertion of the ultrasonic scanner (400) into the bottom (TQ2) of the storage tank (TQ) through the visiting nozzle (BV), the test is started, in order to identify through an embedded computer program (SF2) various conditions such as calculating the background corrosion rate (TQ2), calculating the tank life (TQ), among other requirements provided in the American standard API 653 according to images (14) and / or videos (V4) captured with an average time of 45 minutes to finalize the inspection in storage tanks of (TQ) 4 m in diameter and 5 m high; ultrasonic scanner (400) are analyzed in the central (300) and the collected data (Dl) Petition 870220078431, of 08/30/2022, p. 14/23 3/3 finalize the inspection method (100) and validate the remote visual inspection (VR).2) VISUAL INSPECTION METHOD OF TANKS / CONFINED STORAGE SPACES OF DIESEL, GASOLINE, CHEMICALS OR CORRELATES, according to claim 1 and in a variation characterized by the inspection method (100 ') integrating after the capture of the images (11) / (12) / (13) / (14) and / or videos (V1) / (V2) / (V3) / (V4) of steps (110), (120) and (130) the generation of metaverse environment (AM) through a specific computer program (500) for viewing through users' glasses (Ul) to navigate virtually in the confined space of the storage tank (TQ) and visualization of anomalies (AN), review of previous tests, among other applications using measurement accessories made available in the virtual environment.</t>
  </si>
  <si>
    <t>Mario, Augusto Martinez</t>
  </si>
  <si>
    <t>BR</t>
  </si>
  <si>
    <t>G01B0011300000</t>
  </si>
  <si>
    <t>G01B01130000</t>
  </si>
  <si>
    <t>G01B01130000 | G01B01708000 | G01M00300000</t>
  </si>
  <si>
    <t>BR102022017385A2</t>
  </si>
  <si>
    <t>$9530</t>
  </si>
  <si>
    <t>BR102022017385 A2</t>
  </si>
  <si>
    <t>I-000233398533</t>
  </si>
  <si>
    <t>15 years from 2022-08-30 (file date)</t>
  </si>
  <si>
    <t>https://patentscout.innography.com/share/CDwV3ItG3j5qtCMyioAcIg%3D%3D</t>
  </si>
  <si>
    <t>2022-12-13-PUBLICATION OF AN APPLICATION: PUBLICATION ANTICIPATED [CHAPTER 3.2 PATENT GAZETTE]</t>
  </si>
  <si>
    <t>https://patentscout.innography.com/share/CDwV3ItG3j5qtCMyioAcIg%3D%3D/download</t>
  </si>
  <si>
    <t>https://v3.espacenet.com/publicationDetails/biblio?CC=BR&amp;NR=102022017385A2&amp;KC=A2&amp;FT=D&amp;date=20221213&amp;DB=EPODOC&amp;locale=</t>
  </si>
  <si>
    <t>BR20102022017385 A2</t>
  </si>
  <si>
    <t>BR Applications</t>
  </si>
  <si>
    <t>1.  CLAIMS1 ) VISUAL INSPECTION METHOD OF CONFINED TANKS / SPACES OF STORAGE OF DIESEL, GASOLINE, CHEMICALS OR CORRELATES, deals with a method of visual inspection (100 ) of tanks (TQ) for the storage of diesel, gasoline, chemicals or correlates, or other similar confined locations; characterized in that the inspection method (100 ) is formed by integrated steps, (i) a robotic visual inspection step (110 ) comprised of sub-steps such as visual inspection (111 ) of the side (TQ1 ) of the tank (TQ), visual inspection (112 ) of the bottom (TQ2 ) of the tank (TQ) and visual inspection (113 ) of the tank ceiling (TQ3 ) (TQ); -robotic visual inspection step (110 )-at this stage the insertion of an optical scanner (200 ) for confined spaces, such as storage tanks (TQ) with a minimum visit nozzle of 18 and whose camera (201 ) has a resolution of 1 mm to 9m of distance and integrated computer program (SF1 ) for dimensioning of anomalies (AN), said optical scanner (200 ) acting in accordance with the following sub-steps: (a) visual inspection sub-step (111 ) of the side (TQ1 )-first, the optical scanner (200 ) is inserted into the visiting nozzle (BV) of the storage tank (TQ) through a probe (SD) supported by a tripod (TP) arranged on a platform near the visiting nozzle (BV) initiating the image capture (II) of up to 18 megapixel-MP-or videos (VI) with 4K recording of the entire side (TQ1 ) of the tank (TQ); the probe (SD) automatically conducts the optical scanner (200 ) gradually performing radial capture (CRI) of Petition 870220078431 , of 08 /30 /2022 , p. 13 /232 /3 setorized mode (Sl) of the side (TQ1 ), until it is fully registered and whose images (II) and videos (VI) are sent to a central (300 ); (b) visual inspection sub-step (112 ) of the background (TQ2 )-after capturing images (II) and videos (VI) from the side (TQ1 ), the optical scanner (200 ) is tilted to capture the edges and bottom (TQ2 ) of the tank (TQ), said images (12 ) and / or videos (V2 ) being directed to the central (300 ); (c) visual inspection sub-step (113 ) of the ceiling (TQ3 )-with the optical scanner (200 ) positioned at the bottom (TQ2 ) of the tank (TQ), the same is rotated, in order to capture images (13 ) and videos (V3 ) of the storage tank ceiling (TQ3 ) (TQ) and with an average time of 20 minutes for the completion of all sub-steps in tanks (TQ) of 4m in diameter and 5m in height;-ultrasonic inspection step (120 ) of the bottom (TQ2 )- in this step an ultrasonic scanner (400 ) is used to investigate background irregularities (TQ2 ); (a) sub-step of mapping (121 ) of the background (TQ2 )-after insertion of the ultrasonic scanner (400 ) into the bottom (TQ2 ) of the storage tank (TQ) through the visiting nozzle (BV), the test is started, in order to identify through an embedded computer program (SF2 ) various conditions such as calculating the background corrosion rate (TQ2 ), calculating the tank life (TQ), among other requirements provided in the American standard API 653 according to images (14 ) and / or videos (V4 ) captured with an average time of 45 minutes to finalize the inspection in storage tanks of (TQ) 4 m in diameter and 5 m high; ultrasonic scanner (400 ) are analyzed in the central (300 ) and the collected data (Dl) Petition 870220078431 , of 08 /30 /2022 , p. 14 /233 /3 finalize the inspection method (100 ) and validate the remote visual inspection (VR).</t>
  </si>
  <si>
    <t>2022-12-20</t>
  </si>
  <si>
    <t>2042-08-22</t>
  </si>
  <si>
    <t>The invention claims a method and system for realizing meta-universe emotion accompanying virtual person based on neural network the accompanying consignor constructs the customized universe virtual human and space to manage the emotional communication time of the old people it improves the intelligence of the virtual human object in the emotion accompanying process of the accompanying people enhancing the sense of reality when receiving the accompanying care the sense of affinity and immersion establishing virtual human chat back end and learning system through intelligent technology making the virtual human from the image to the voice and then to chat content characteristics degree of customization personalized characteristics solves the problem that the traditional robot emotion accompanying mechanical dead plate and single problem the machine emotion accompanying can be customized and improved with self-adaptive learning establishing the scene of the virtual person by the image and modeling technology in scene creating detail reduction and other aspects of approximation reality further enhancing the impression authenticity of the emotion accompanying process and combining with the information feedback mechanism improving the information feedback efficiency and accuracy.</t>
  </si>
  <si>
    <t>Method and system for realizing meta-space emotion accompanying virtual person based on neural network</t>
  </si>
  <si>
    <t>CN202211006866A</t>
  </si>
  <si>
    <t>1. A meta-universe emotion accompanying virtual human system based on neural network, wherein it comprises: virtual human learning module, based on personal image data submitted by the accompanying delegation, multi-modality corpus data, public information in the specified field, learning and generating the guest-based meta-space audiovisual image and customized voice chat content of the meta-universe emotion accompanying virtual person; environment recording and configuration module, based on the environment image data provided by the accompanying delegation, generating three-dimensional model and environment detail of the customized element space environment; emotion communication accompanying module, according to the virtual human learning module, the result of the environment recording and configuration module generating the accompanying consignor expected to be provided to the accompany emotion accompanying virtual person of the person to be protected, and an information feedback module, providing feedback information for the accompanying consignor in the accompanying process, wherein the virtual human learning module comprises: an individual image customized unit, based on the personal image data, performing three-dimensional reconstruction for the accompany client image in the personal image data, and extracting the state expression in various states from the personal image data, storing and learning the mouth shape feature, so as to obtain the customized element universe audio-visual image; and a chat content customization unit, based on the multi-mode corpus data and public information of the specified field, performing semantic emotion analysis and sentence synthesis, so as to obtain the customized voice chat content.</t>
  </si>
  <si>
    <t>1. A meta-universe emotion accompanying virtual human system based on neural network, wherein it comprises: virtual human learning module, based on personal image data submitted by the accompanying delegation, multi-modality corpus data, public information in the specified field, learning and generating the guest-based meta-space audiovisual image and customized voice chat content of the meta-universe emotion accompanying virtual person; environment recording and configuration module, based on the environment image data provided by the accompanying delegation, generating three-dimensional model and environment detail of the customized element space environment; emotion communication accompanying module, according to the virtual human learning module, the result of the environment recording and configuration module generating the accompanying consignor expected to be provided to the accompany emotion accompanying virtual person of the person to be protected, and an information feedback module, providing feedback information for the accompanying consignor in the accompanying process, wherein the virtual human learning module comprises: an individual image customized unit, based on the personal image data, performing three-dimensional reconstruction for the accompany client image in the personal image data, and extracting the state expression in various states from the personal image data, storing and learning the mouth shape feature, so as to obtain the customized element universe audio-visual image; and a chat content customization unit, based on the multi-mode corpus data and public information of the specified field, performing semantic emotion analysis and sentence synthesis, so as to obtain the customized voice chat content.2. The meta-universe emotion accompanying virtual human system based on neural network according to claim 1, wherein wherein the individual image customization unit comprises a three-dimensional reconstruction neural network model, a language and a feature neural network model, attitude and emotion generating neural network model and mouth shape generating model neural network respectively used for generating the character and the environment three-dimensional model of the customized element universe visual image, voice when chatting, posture and emotion and mouth shape, the individual image customized unit further provides a preview function, and according to the feedback of the accompany client to the preview of the feedback of the customized element universe visual image for correcting or re-learning, the chat content customization unit comprises a voice chat content generating neural network model, the multi-mode corpus data after voice recognition and emotion semantic analysis, semantic and emotion recognition result to the voice chat content generating neural network customized voice chat content, the chat content customization unit further provides a preview function, and correcting or re-generating the voice chatting content according to the feedback of the preview by the accompanying consignor.3. The meta-universe emotion accompanying virtual human system based on neural network according to claim 2, wherein wherein the three-dimensional reconstruction neural network model is a structured stack of neural network, the language and the feature neural network model is a trained migration neural network the migration neural network is a structured stack with generalization capability for continuously training and improving neural network the model application process after pre-training, the posture and the myth generating neural network model is a trained posture learning neural network the mouth-shaped generating neural network model is a trained mouth-shaped learning neural network, the posture learning neural network and the mouth-shaped learning neural network are all generative adversarial network, the voice chat content generating neural network model is structured stack of neural network4. The meta-universe emotion accompanying virtual human system based on neural network according to claim 1, wherein Wherein, the environment recording and configuration module comprises: a preset model storage unit, a three-dimensional model pre-stored with several chat background environments and several environment detail effects; image data submitting interface, for the accompanying consignor submitting the photo or panoramic photo of the desired recording environment; an environment model generating unit for generating an environment three-dimensional model, providing a preset mode and a customized manner, in the preset mode, the accompany client selects the pre-stored three-dimensional model from the preset model storage unit as the environment three-dimensional model, in the customized manner, generating the environment three-dimensional model based on the photograph or the panorama photograph; environment detail configuration unit, for configuring environment details, providing a preset mode and customized mode, under the preset mode, the accompany client selects the pre-stored environment detail effect from the preset model storage unit as the environment detail, in the customized manner, based on the geographical position information and/or environment time configuration input by the accompanying consignor, it is used as environment generating basis.5. The meta-space emotion accompanying virtual human system based on neural network according to claim 1, wherein wherein, when the accompanying consignor provides three-dimensional data, the virtual human learning module further receives the three-dimensional data, and corrects the customized virtual human three-dimensional model in the three-dimensional data according to the three-dimensional data, the environment recording and configuration module further receives the three-dimensional data, and correcting the customized environment three-dimensional model according to the three-dimensional data, the three-dimensional data is any one or combination of two of three-dimensional point cloud data, depth of field data.6. The meta-universe emotion accompanying virtual human system based on neural network according to claim 1, wherein wherein the emotional communication accompany module comprises: natural language processing and generating unit, in the accompanying process, monitoring the talking behaviour of the accompanied person, and performing voice recognition and emotion semantic analysis to the monitored person to be protected language, obtaining the main purpose of the person to be protected, and finishing the corresponding processing action according to the main purpose; and a visualization unit, according to the result of the virtual human learning module and the environment input and configuration module, generating a customized universe virtual human body image and the meta-space environment thereof, and further generating the emotional accompany space space containing the metaverse emotion accompanying virtual human individual according to the result of the natural language processing and generating unit.7. The meta-universe emotion accompanying virtual human system based on neural network according to claim 6, wherein wherein, the natural language processing and generating unit comprises: natural language processing neural network performing the emotion semantic analysis, extracting the semantic point in the language information and the main intention; and a content generating part, wherein the content generating part comprises: content generating a neural network model or a third party content generating service, generating text reply content based on the semantic key and the main intention; and from the text to the voice neural network model, based on the text reply content and the configuration of the virtual human learning module, generating the sound audio stream of the meta-universe emotion accompanying virtual person, the visualization unit generates the three-dimensional semi-body image video stream of the meta-universe emotion accompanying virtual person in the emotion accompanying universe in the universe.8. The meta-universe emotion accompanying virtual human system based on neural network according to claim 6, wherein wherein the main intention of the accompanying people is divided into information service requirement and affective communication requirement, when the main intention is the information service requirement, the emotion communication accompany module performs corresponding information processing by internet to satisfy the requirement; when the main intention is the emotional communication requirement, the emotion communication accompany module according to the configuration of the virtual human learning module, generating personalized reply content according to the context, and further determining emotion and tone according to the configuration of the virtual human learning module and the generated personalized reply content, using specific voiceprint, timbre, dialect sound feature to synthesize, obtaining synthesized speech, and transmitting the synthesized speech to the visualization unit for cooperative output.9. The meta-universe emotion accompanying virtual human system based on neural network according to claim 6, wherein Wherein, the information feedback module comprises: intelligent evaluation unit, based on the natural language processing neural network basic construction of the scoring network, for extracting semantic information in the emotion accompanying process, and the value and important degree of the semantic information in real time evaluation; data temporary storage unit, selectively storing the semantic information according to the real-time evaluation result, and storing the extracted audio data when extracting the corresponding semantic information, the audio data corresponding to the video data of the time slice; and a man-machine interaction interface, for the accompany client to view the stored semantic information, the audio data and the video data corresponding to each other.10. A realizing method for realizing emotion accompanying by using the meta-space emotion accompanying virtual human system based on neural network according to any one of claims 1-9, wherein it comprises the following steps: step S1, the virtual human learning module collects the multi-mode data of the accompanying consignor, generating the customized element universe visual image of the virtual person based on the multi-mode data, displaying the preview effect, and circularly adjusting the configuration or repeated training to improve the learning effect according to the feedback adjusting configuration or repeated training of the accompany client to the preview effect, finally obtaining the customized element universe audio-visual image; step S2, the virtual human learning module obtains the multi-mode form linguistic data the accompanying person recorded by the accompanying person and the selected public information field, based on the multi-mode form linguistic data generating voice chat content with the included public information field, and according to the trial feedback of the accompanying consignor, improving input training to improve the customized effect, finally obtaining the customized voice chat content; step S3, environment recording and configuration module displaying the virtual reality option, collecting the environment image and three-dimensional information of the accompanying consignor, generating environment three-dimensional model and environment detail based on the environment image and the three-dimensional information, and displaying the preview effect, adjusting the environment three-dimensional model and the environment detail according to the feedback of the accompany client to the preview effect, obtaining the three-dimensional model and environment detail of the customized element space environment; step S4, the emotion communication accompanying module based on the customized element universe audio-visual image, the customized voice chatting content, the customized element universe space environment three-dimensional model and environment detail synthesis element emotion accompanying sound video stream of virtual human, based on the voice of the accompanying people, the emotion semantic and requirement of the person to be accompanied intelligent analysis, according to the intelligent analysis result satisfy the service requirement of the accompanied person and the emotional communication requirement, and providing the accompanying person in real time access, and the function of instant communication with the accompanied person; step S5, the information feedback module based on emotion semantic analysis, storing the emotion semantic and requirement key of the accompanied person intelligent extracted in the emotion accompanying process, and storing the corresponding time period of the audio and video data, in response to the accompany client starting to check the accompanying person in the recent accompany condition operation, providing feedback information to the accompany consignor.</t>
  </si>
  <si>
    <t>G06F00301000 | G06F01633200 | G06N00308000 | G06T01700000 | G10L01302000</t>
  </si>
  <si>
    <t>CN115494941A</t>
  </si>
  <si>
    <t>CN115494941 A</t>
  </si>
  <si>
    <t>I-000233657647</t>
  </si>
  <si>
    <t>20 years from 2022-08-22 (file date)</t>
  </si>
  <si>
    <t>https://patentscout.innography.com/share/pQx1tJxjH3kLoPIBzQoLlw%3D%3D</t>
  </si>
  <si>
    <t>https://patentscout.innography.com/share/pQx1tJxjH3kLoPIBzQoLlw%3D%3D/download</t>
  </si>
  <si>
    <t>https://v3.espacenet.com/publicationDetails/biblio?CC=CN&amp;NR=115494941A&amp;KC=A&amp;FT=D&amp;date=20221220&amp;DB=EPODOC&amp;locale=</t>
  </si>
  <si>
    <t>1.  1.  A meta-universe emotion accompanying virtual human system based on neural network, wherein it comprises: virtual human learning module, based on personal image data submitted by the accompanying delegation, multi-modality corpus data, public information in the specified field, learning and generating the guest-based meta-space audiovisual image and customized voice chat content of the meta-universe emotion accompanying virtual person; environment recording and configuration module, based on the environment image data provided by the accompanying delegation, generating three-dimensional model and environment detail of the customized element space environment; emotion communication accompanying module, according to the virtual human learning module, the result of the environment recording and configuration module generating the accompanying consignor expected to be provided to the accompany emotion accompanying virtual person of the person to be protected, and an information feedback module, providing feedback information for the accompanying consignor in the accompanying process, wherein the virtual human learning module comprises: an individual image customized unit, based on the personal image data, performing three-dimensional reconstruction for the accompany client image in the personal image data, and extracting the state expression in various states from the personal image data, storing and learning the mouth shape feature, so as to obtain the customized element universe audio-visual image; and a chat content customization unit, based on the multi-mode corpus data and public information of the specified field, performing semantic emotion analysis and sentence synthesis, so as to obtain the customized voice chat content.</t>
  </si>
  <si>
    <t>KR102172611 B1 | KR20200121061 A | CN109275010 A | CN109348246 A | WO2022131602 A1 | KR20200145805 A</t>
  </si>
  <si>
    <t>2018-05-24</t>
  </si>
  <si>
    <t>2016-11-15</t>
  </si>
  <si>
    <t>2036-11-15</t>
  </si>
  <si>
    <t>A virtual reality system including a client system and a server system the client system comprising: a child navigator for controlling movement of a cursor according to a line of sight of a viewer and determining whether to select according to a set time interval; And a video manager and a switch unit for managing and playing a plurality of two-dimensional images according to an instruction of the infant navigator unit and switching a video source to be played.  According to the interactive virtual reality system the VR real time broadcast can be viewed by the HMD terminal in a better environment.</t>
  </si>
  <si>
    <t>Interactive virtual reality system</t>
  </si>
  <si>
    <t>virtual reality system|virtual reality|reality system|server system|client system|server unit</t>
  </si>
  <si>
    <t>Salin Co., Ltd.</t>
  </si>
  <si>
    <t>Alfred Salin</t>
  </si>
  <si>
    <t>KR20160152258A</t>
  </si>
  <si>
    <t>In a virtual reality system including a client system and a server system,  The client system comprises:  An infant navigator unit for controlling the movement of the cursor according to a line of sight of a viewer and determining whether to select according to a set time interval; And  And a video manager and a switch unit for managing and playing a plurality of two-dimensional images according to an instruction of the infant's navigator unit, and switching a video source to be played.
The method according to claim 1,  The client system comprises:  A virtual three-dimensional room unit capable of drawing and maintaining a virtual three-dimensional space; And  A social meta bus unit for displaying an icon and status information of a friend on the social network and allowing the friend to call or invite,  And the friend invited by the social metaverse unit can be displayed in an avatar format in the virtual three-dimensional space.
The method according to claim 1,  The virtual three-  And a virtual sky box can be created and the space of the sky box can be filled up.
The method according to claim 1,  The client system comprises:  Further comprising a dashboard unit that draws an area for displaying the metadata, receives information on each area from the server system, and displays information corresponding to the area, system.
The method according to claim 1,  The client system comprises:  Further comprising: a virtual space audio unit capable of outputting virtual audio by adding spatial information of an image currently being played.
The method according to claim 1,  The client system comprises:  A video player for displaying video information received from the server system; And  An HMD renderer portion for rendering video, metadata and CG objects on the head mount display,  Wherein the HMD renderer unit is capable of simultaneously displaying a 180 degree image and a 360 degree image on the head mount display.
The method according to claim 6,  The HMD renderer unit,  When the cursor stays at a predetermined position for a predetermined time or longer,  A 360 degree image can be switched to a 180 degree image, or a 180 degree image can be switched to a 360 degree image.
The method according to claim 1,  The server system comprises:  And an audio meta server unit for managing virtual audio information according to spatial information.
The method according to claim 1,  The server system comprises:  A room management server unit for managing virtual room information; And  And an AD metadata server unit for managing metadata related to the advertisement.
The method according to claim 1,  The server system comprises:  And a camera meta server unit for managing camera information for acquiring video information,  The camera information includes:  A camera model, a lens, a resolution, and photographing position information.</t>
  </si>
  <si>
    <t>Kim, Jae Hyun|Ahn, Dae Soo</t>
  </si>
  <si>
    <t>G02B0027017900</t>
  </si>
  <si>
    <t>G02B0027017900 | G02B0027017000 | G02B2027018700 | G06F0011308600 | G06F0016907000</t>
  </si>
  <si>
    <t>G02B02701000 | G06F01130000 | G06F01730000</t>
  </si>
  <si>
    <t>KR20180054377A</t>
  </si>
  <si>
    <t>KR20180054377 A</t>
  </si>
  <si>
    <t>I-000166954096</t>
  </si>
  <si>
    <t>20 years from 2016-11-15 (file date)</t>
  </si>
  <si>
    <t>https://patentscout.innography.com/share/GfLMbt2yHRQeAe1ByX5B5Q%3D%3D</t>
  </si>
  <si>
    <t>https://patentscout.innography.com/share/GfLMbt2yHRQeAe1ByX5B5Q%3D%3D/download</t>
  </si>
  <si>
    <t>https://v3.espacenet.com/publicationDetails/biblio?CC=KR&amp;NR=20180054377A&amp;KC=A&amp;FT=D&amp;date=20180524&amp;DB=EPODOC&amp;locale=</t>
  </si>
  <si>
    <t>Dongcheon Patent Firm</t>
  </si>
  <si>
    <t>특허법인 동천 | 특허법인 동천</t>
  </si>
  <si>
    <t>1. In a virtual reality system including a client system and a server system,  The client system comprises:  An infant navigator unit for controlling the movement of the cursor according to a line of sight of a viewer and determining whether to select according to a set time interval; And  And a video manager and a switch unit for managing and playing a plurality of two-dimensional images according to an instruction of the infant's navigator unit, and switching a video source to be played.</t>
  </si>
  <si>
    <t>CN102983391 B | CN103879064 B | CN105792560 B | CN205219901 U | JP2008230237 A | US20090130995 A1 | US20120050975 A1 | CN103891042 B | CN205051997 U | US20150109167 A1 | US20180198196 A1 | US20140361934 A1 | CN103974572 B | CN107685495 A | TW201117696 A | TW201735438 A</t>
  </si>
  <si>
    <t>CN113067162 A</t>
  </si>
  <si>
    <t>2020-02-04</t>
  </si>
  <si>
    <t>2018-07-22</t>
  </si>
  <si>
    <t>2019-06-13</t>
  </si>
  <si>
    <t>2020-01-23</t>
  </si>
  <si>
    <t>The invention discloses an electronic device shell and an electronic device wherein the electronic device shell is suitable for covering an antenna and comprises a supporting layer and a carbon fiber layer. The carbon fiber layer is arranged on the surface of the supporting layer and comprises a signal passing area wherein the signal passing area comprises a plurality of slots and a plurality of microstructures which are divided by the slots. The signal passing area is suitable for covering the antenna and the signal excited by the antenna is suitable for penetrating out of the electronic device shell through the supporting layer and the slots. The electronic device provided by the invention is provided with the electronic device shell.</t>
  </si>
  <si>
    <t>Electronic device casing and electronic device</t>
  </si>
  <si>
    <t>electronic device casing|device casing|layer|signal|electronic device shell|electronic device housing</t>
  </si>
  <si>
    <t>Htc Corp</t>
  </si>
  <si>
    <t>CN201910510965A</t>
  </si>
  <si>
    <t xml:space="preserve">An electronic device housing adapted to cover an antenna, the electronic device housing comprising:a support layer; andthe carbon fiber layer is arranged on the surface of the supporting layer and comprises a signal passing area, wherein the signal passing area comprises a plurality of slots and a plurality of microstructures which are divided by the slots, the signal passing area is suitable for covering the antenna, and signals excited by the antenna are suitable for passing through the supporting layer and the slots and penetrating out of the shell of the electronic device.
</t>
  </si>
  <si>
    <t>1. An electronic device housing adapted to cover an antenna, the electronic device housing comprising:a support layer; andthe carbon fiber layer is arranged on the surface of the supporting layer and comprises a signal passing area, wherein the signal passing area comprises a plurality of slots and a plurality of microstructures which are divided by the slots, the signal passing area is suitable for covering the antenna, and signals excited by the antenna are suitable for passing through the supporting layer and the slots and penetrating out of the shell of the electronic device.
2. An electronic device enclosure according to claim 1, wherein the slots have the same width.
3. The electronic device housing of claim 1, wherein the slots have a width of between 10 microns and 50 microns.
4. An electronic device enclosure according to claim 1, wherein the microstructures comprise at least one polygon.
5. The electronic device enclosure of claim 4, wherein a portion of the slots extend along a first direction and another portion of the slots extend along a second direction.
6. The electronic device housing of claim 5, wherein the first direction is perpendicular to the second direction, such that the at least one polygon is rectangular and the microstructures are arranged in a matrix.
7. The electronic device housing of claim 4, wherein the at least one polygon is a hexagon and the microstructures are arranged in a honeycomb pattern.
8. The electronic device housing of claim 1, wherein the microstructures comprise a plurality of irregularities.
9. The electronic device enclosure of claim 1, wherein the plurality of slots comprises at least one curved slot.
10. The electronic device enclosure of claim 1, further comprising at least one insulating filler filled in the slots.
11. An electronic device enclosure according to claim 1, wherein the microstructures have a side length in a range from 40 microns to 120 microns.
12. The electronic device housing of claim 1, wherein the microstructures occupy 70% to 95% of the area in the signal passing area.
13. The electronic device enclosure of claim 1, wherein the support layer comprises a fiberglass layer, an aramid fiber layer, a silicon carbide fiber layer, or a resin layer.
14. The electronic device housing of claim 1, wherein the thickness of the support layer is greater than or equal to the thickness of the carbon fiber layer.
15. The electronic device housing of claim 1, wherein the signal passing area occupies part or all of the carbon fiber layer.
16. An electronic device, comprising:an electronic device enclosure as claimed in any one of claims 1 to 15; andthe antenna is covered by the signal passing area of the electronic device shell, and a signal excited by the antenna passes through the supporting layer and the slots and penetrates out of the electronic device shell.
17. The electronic device of claim 16, wherein the antenna is disposed on the other surface of the support layer.
18. The electronic device of claim 16, wherein the antenna is spaced a distance from the support layer.
19. The electronic device of claim 16 wherein the orthographic projection of the entire antenna onto the carbon fiber layer is within the range of the signal passing area.
20. The electronic device of claim 16, wherein the electronic device comprises a cell phone, a tablet computer, a notebook computer, or a metaverse simulator.</t>
  </si>
  <si>
    <t>Yeh, Ying-hao|Su, Sheng-wen</t>
  </si>
  <si>
    <t>CN110753463 B</t>
  </si>
  <si>
    <t>H05K0005021700</t>
  </si>
  <si>
    <t>H05K0005021700 | G06F0001169800 | H01Q0001243000 | H01Q0001420000 | H01Q0001220000</t>
  </si>
  <si>
    <t>H05K00502000</t>
  </si>
  <si>
    <t>US20200028236A1|CN110753463A|TW202008867A|TWI703912B|US10965016B2|CN110753463B</t>
  </si>
  <si>
    <t>US20200028236 A1 | CN110753463 A | TW202008867 A | TWI703912 B | US10965016 B2 | CN110753463 B</t>
  </si>
  <si>
    <t>I-000190013984</t>
  </si>
  <si>
    <t>Application expired due to grant (CN110753463 B)</t>
  </si>
  <si>
    <t>https://patentscout.innography.com/share/3zZs85hAGIbyl4315WJIvQ%3D%3D</t>
  </si>
  <si>
    <t>2020-02-04-PUBLICATION|2020-02-28-ENTRY INTO FORCE OF REQUEST FOR SUBSTANTIVE EXAMINATION|2022-07-12-PATENT GRANT</t>
  </si>
  <si>
    <t>https://patentscout.innography.com/share/3zZs85hAGIbyl4315WJIvQ%3D%3D/download</t>
  </si>
  <si>
    <t>https://v3.espacenet.com/publicationDetails/biblio?CC=CN&amp;NR=110753463A&amp;KC=A&amp;FT=D&amp;date=20200204&amp;DB=EPODOC&amp;locale=</t>
  </si>
  <si>
    <t>CN110753463 A</t>
  </si>
  <si>
    <t>US20200028236 A1</t>
  </si>
  <si>
    <t>1. An electronic device housing adapted to cover an antenna, the electronic device housing comprising:a support layer; andthe carbon fiber layer is arranged on the surface of the supporting layer and comprises a signal passing area, wherein the signal passing area comprises a plurality of slots and a plurality of microstructures which are divided by the slots, the signal passing area is suitable for covering the antenna, and signals excited by the antenna are suitable for passing through the supporting layer and the slots and penetrating out of the shell of the electronic device.</t>
  </si>
  <si>
    <t>CN103903057 B | CN107632036 A | CN108335223 B | CN106501871 A | US4360359 A</t>
  </si>
  <si>
    <t>2020-03-17</t>
  </si>
  <si>
    <t>2018-09-10</t>
  </si>
  <si>
    <t>The invention relates to the technical field of mineral geological exploration and particularly discloses an environmental index method for after-corrosion of divided placer-leaching type uranium ore rocks. The method comprises the following steps: 1. setting a rock environment index sample; 2. sampling in the field; 3. carrying out experimental analysis on the sample sending the sample into a laboratory in time after sampling the sample and carrying out rock specific potential determination on delta Eh and low-valent sulfur S2Analysis and organic carbon Cy analysis; 4. for experimental numberAnd (6) analyzing sorting and utilizing. The method selects rock specific potential delta Eh and low-valence sulfur S which are less influenced by air2And 3 rock environment index analysis data such as organic carbon Cy and the like are combined and judged the geochemical environment of the rock can be accurately judged the strength of the after-growth change of the rock is determined the research and judgment and the division of the zonation of the after-growth change zone of the rock of the ground dunite type uranium ore are realized and the enrichment factors of uranium-bearing property and uranium are analyzed by combining quantitative gamma logging data so that the uranium ore occurrence part can be accurately captured.</t>
  </si>
  <si>
    <t>Environmental index method for rock after-alteration of divided land-leaching sandstone-type uranium ores</t>
  </si>
  <si>
    <t>uranium ore|uranium|environmental index|organic carbon</t>
  </si>
  <si>
    <t>The Nuclear Industry Brigade 208 Geological Team</t>
  </si>
  <si>
    <t>THE NUCLEAR INDUSTRY BRIGADE 208 GEOLOGICAL TEAM</t>
  </si>
  <si>
    <t>CN201811050332A</t>
  </si>
  <si>
    <t xml:space="preserve">An environmental index method for the rock after-alteration of a divided land-leaching sandstone-type uranium ore is characterized by comprising the following steps of: the method specifically comprises the following steps:step 1, setting a rock environment index sampleReasonably laying rock environment index samples according to the properties, stages and target tasks of the in-situ leaching sandstone uranium ore belt drilling evaluation or exploration project, the geological working status, the geological background and the mineralization condition, drawing a sampling design drawing, and explaining a sampling method, requirements and an executed rule;step 2, field sampling is carried outStep 3, carrying out experimental analysis on the sampleAfter the sampling of the sample is finished, the sample is sent into a laboratory in time to carry out the specific potential △ Eh determination of the rock and the low-valence sulfur S2-Analysis and organic carbon Cy;step 4, analyzing, sorting and utilizing laboratory test analysis dataAfter receiving a test analysis report given by a laboratory, carrying out classified statistics on data, quantifying a rock primary environment index background value, comparing the change condition of rock secondary alteration environment indexes, judging the type and the period of the secondary alteration, finding out a mutation part between the rock with the original non-altered reduction and the rock with strongest ore-controlling secondary oxidation alteration, analyzing reduction factors for enriching uranium precipitates, carrying out secondary oxidation alteration zoning and division, and providing a reliable data basis for delineating the front line of an oxidation zone.
</t>
  </si>
  <si>
    <t>1. An environmental index method for the rock after-alteration of a divided land-leaching sandstone-type uranium ore is characterized by comprising the following steps of: the method specifically comprises the following steps:step 1, setting a rock environment index sampleReasonably laying rock environment index samples according to the properties, stages and target tasks of the in-situ leaching sandstone uranium ore belt drilling evaluation or exploration project, the geological working status, the geological background and the mineralization condition, drawing a sampling design drawing, and explaining a sampling method, requirements and an executed rule;step 2, field sampling is carried outStep 3, carrying out experimental analysis on the sampleAfter the sampling of the sample is finished, the sample is sent into a laboratory in time to carry out the specific potential △ Eh determination of the rock and the low-valence sulfur S2-Analysis and organic carbon Cy;step 4, analyzing, sorting and utilizing laboratory test analysis dataAfter receiving a test analysis report given by a laboratory, carrying out classified statistics on data, quantifying a rock primary environment index background value, comparing the change condition of rock secondary alteration environment indexes, judging the type and the period of the secondary alteration, finding out a mutation part between the rock with the original non-altered reduction and the rock with strongest ore-controlling secondary oxidation alteration, analyzing reduction factors for enriching uranium precipitates, carrying out secondary oxidation alteration zoning and division, and providing a reliable data basis for delineating the front line of an oxidation zone.
2. The environmental index method for the occurrence of the alteration of the uranium ore rock of the compartmentalized sandstone type according to claim 1, wherein: the step 1 specifically comprises:step 1.1, establishing a sampling sample design principle;on the basis of collecting and sorting the previous samples, classified sampling of the same region (or section), the same layer, the same sand body, the same lithology, the same color and the same environment is realized according to the rock after-corrosion change and ore finding conditions;step 1.2, determining a sampling object;the main object of definite sampling is to find a uranium target layer, the key point of the target layer is a sand body, the key point of the sand body is the anagenetic alteration sandstone, and the key point of the anagenetic alteration sandstone is the ore-bearing sandstone of a mutation part;step 1.3, obtaining background data of a native rock environmental index sample of a uranium finding target layer;step 1.4, determining sampling key points and determining a sampling mode;step 1.5, select appropriate weight of sample for subsequent chemical analysisTaking a rock core sample with the weight of more than 300g, and simultaneously analyzing or selectively analyzing the specific potential delta Eh and the low-valent sulfur S of the rock according to the geochemical type of the rock2-And organic carbon Cy.
3. The environmental index method for the occurrence of the alteration of the uranium ore rock of the compartmentalized sandstone type according to claim 1, wherein: the step 2 of field sampling specifically comprises the following steps:2.1, selecting a sampling tool;step 2.2, sampling a sample;2.2.1, sampling samples after drilling is finished;after drilling, the core is taken out from the core box and put on the spread canvas, the sampling position and the sample length are taken by tape measure by using a core splitting or block picking sampling mode, the mud skin is removed by a scraper, the core is split by a geological hammer or a manual core splitter as appropriate, half of the core is packed into a plastic bag for sealing, and the other half is put back to the core box.And 2.2.2, selecting a sample with proper weight, and labeling the sample.
4. The environmental index method for the occurrence of the alteration of the uranium ore rock of the compartmentalized sandstone type according to claim 1, wherein: when the sample experiment analysis is carried out in the step 3, the rock and ore sample is crushed to phi 0.25mm, the same sample is divided into two samples with the same positive and negative, the positive sample is analyzed, the negative sample is retained, and the rock specific potential determination, the low-valence sulfur analysis and the organic carbon analysis are carried out;the specific rock potential measuring method comprises the following specific steps:step 3.1, specific potential measurement is carried out on the sampleStep 3.1.1 preparation of Potassium permanganate solutionPreparing a potassium permanganate solution according to the proportion of 1L of distilled water, 10ml of 10% potassium hydroxide solution and 5g of potassium permanganate, and standing for 7-10 days until the solution is stable;step 3.1.2, measuring the specific potential △ Eh of the rock;putting 10g of crushed sample into a beaker A, adding 100ml of prepared potassium permanganate solution, directly adding 100ml of prepared potassium permanganate solution into another empty beaker B, uniformly stirring, respectively measuring Eh samples and Eh empty values of the solutions in the two beakers every 1, 3, 5, 10 and 24 hours, reading 3-5 data each time, taking the average value as the result until the result is stable, and obtaining the rock specific potential △ Eh ═ EhSample (A)－EhAir conditionerWherein, EhSample (A)Eh value determined for a sample beaker; ehAir conditionerEh values determined for a no-sample beaker.
5. The environmental index method for the occurrence of the alteration of the uranium ore rock of the compartmentalized sandstone type according to claim 2, wherein: the step 1.3 of obtaining background data of the environmental index sample of the native rock of the uranium finding target layer comprises the following steps:in each region or section, the geochemical types of the rock colors of primary rocks of a uranium target layer and secondary altered rocks are found out firstly, and then, corresponding samples are designed pertinently according to different types aiming at meeting the requirement of background value analysis, and the samples are designed comprehensively for drilling holes on a main section so as to facilitate contrastive analysis and consider other auxiliary sections and drilling holes with special geological phenomena.
6. The environmental index method for the occurrence of the alteration of the uranium ore rock of the compartmentalized sandstone type according to claim 2, wherein: the step 1.4 is to determine the sampling emphasis and the sampling mode as follows:after the background data of the primary rock environment index sample of the uranium finding target layer is mastered, sampling is mainly put on the metaplasia rock, and the sampling is respectively carried out according to the metaplasia strength, the type and the zonation superimposed on the sand body of the uranium finding target layer, the mineralization position, the type, the grade and the like; the core of the ore section can be used as a rock environment index sample in a uranium radium basic analysis sample as appropriate, and sampling is carried out in a split core mode; the post-alteration core was sampled in a block picking fashion.
7. The environmental index method for the occurrence of the alteration of the uranium ore rock of the compartmentalized sandstone type according to claim 3, wherein: the step 2.2.2 selects a sample with a proper weight, and the specific steps for labeling the sample are as follows:weighing the weight of the sample by using an electronic scale, measuring the strength of the sample by using an β + gamma recorder, filling the sample into a label, wherein the sample cannot be mixed with rocks of different rock colors and geochemical types, and the characteristic minerals such as carbon dust, pyrite and the like seen by naked eyes and special geological phenomena need to be described and recorded in the label, perfecting the lithology, numbering and analysis item label contents of the sample in duplicate, wherein one part is reserved, the other part is put into a cloth sample bag together with the sample in the plastic bag, and the sample number is clearly written on the cloth sample bag by using a marker pen after the sample is sealed.
8. The environmental index method for the metaverse sandstone-type uranium ore rock after-corrosion according to claim 3, wherein the sampling tool selected in the step 2.1 comprises canvas, a measuring tape, a scraper, a geological hammer, a manual core splitter, a label, a plastic bag, an electronic scale, an β + gamma recorder, a cloth sample bag and a marker pen.
9. The environmental index method for the occurrence of the alteration of the uranium ore rock of the compartmentalized sandstone type according to claim 3, wherein: in the step 2.2.1, the sample sampled after the drilling is finished must be cleared of the mud skin of the core, and the core impregnated with mud cannot be adopted.
10. The environmental index method for the occurrence of the alteration of the uranium ore rock of the compartmentalized sandstone type according to claim 4, wherein: the low-valent sulfur S is carried out in the step 32-The specific steps of analysis and organic carbon Cy analysis were:step 3.2, carrying out low-valent sulfur S on the sample2-Analysis ofLow sulfur S of the sample2-The sulfur-containing material is characterized by comprising (1) total sulfur- (natural sulfur + sulfate sulfur), wherein the total sulfur is obtained by gravimetric analysis, and the natural sulfur and the sulfate sulfur are obtained by combustion analysis;step 3.3, organic carbon Cy analysis of the sampleOrganic carbon Cy ═ total carbon C of sampleGeneral assemblyInorganic carbon CIs free ofAnd can be obtained by non-aqueous titration analysis.</t>
  </si>
  <si>
    <t>Chen, Shuang|Wang, Wenxu|Wu, Jinzhong|Shen, Kefeng|Peng, Yunbiao</t>
  </si>
  <si>
    <t>CN110887947 B</t>
  </si>
  <si>
    <t>G01N0033240000</t>
  </si>
  <si>
    <t>G01N0033240000 | G01N0005000000 | G01N0027000000 | G01N0031120000 | G01N0031160000 | G01V0011000000 | Y02P0010200000</t>
  </si>
  <si>
    <t>G01N00500000</t>
  </si>
  <si>
    <t>G01N00500000 | G01N03324000 | G01N02700000 | G01N03112000 | G01N03116000 | G01V01100000</t>
  </si>
  <si>
    <t>073784000</t>
  </si>
  <si>
    <t>CN110887947A|CN110887947B</t>
  </si>
  <si>
    <t>CN110887947 A | CN110887947 B</t>
  </si>
  <si>
    <t>I-000191500738</t>
  </si>
  <si>
    <t>Application expired due to grant (CN110887947 B)</t>
  </si>
  <si>
    <t>https://patentscout.innography.com/share/SnILGj0eNfhaN_G3ABbKMQ%3D%3D</t>
  </si>
  <si>
    <t>2020-03-17-PUBLICATION|2020-04-10-ENTRY INTO FORCE OF REQUEST FOR SUBSTANTIVE EXAMINATION|2022-05-20-PATENT GRANT</t>
  </si>
  <si>
    <t>https://patentscout.innography.com/share/SnILGj0eNfhaN_G3ABbKMQ%3D%3D/download</t>
  </si>
  <si>
    <t>https://v3.espacenet.com/publicationDetails/biblio?CC=CN&amp;NR=110887947A&amp;KC=A&amp;FT=D&amp;date=20200317&amp;DB=EPODOC&amp;locale=</t>
  </si>
  <si>
    <t>CN110887947 A</t>
  </si>
  <si>
    <t>Li Dongbin | 李东斌</t>
  </si>
  <si>
    <t>1. An environmental index method for the rock after-alteration of a divided land-leaching sandstone-type uranium ore is characterized by comprising the following steps of: the method specifically comprises the following steps:step 1, setting a rock environment index sampleReasonably laying rock environment index samples according to the properties, stages and target tasks of the in-situ leaching sandstone uranium ore belt drilling evaluation or exploration project, the geological working status, the geological background and the mineralization condition, drawing a sampling design drawing, and explaining a sampling method, requirements and an executed rule;step 2, field sampling is carried outStep 3, carrying out experimental analysis on the sampleAfter the sampling of the sample is finished, the sample is sent into a laboratory in time to carry out the specific potential △ Eh determination of the rock and the low-valence sulfur S2-Analysis and organic carbon Cy;step 4, analyzing, sorting and utilizing laboratory test analysis dataAfter receiving a test analysis report given by a laboratory, carrying out classified statistics on data, quantifying a rock primary environment index background value, comparing the change condition of rock secondary alteration environment indexes, judging the type and the period of the secondary alteration, finding out a mutation part between the rock with the original non-altered reduction and the rock with strongest ore-controlling secondary oxidation alteration, analyzing reduction factors for enriching uranium precipitates, carrying out secondary oxidation alteration zoning and division, and providing a reliable data basis for delineating the front line of an oxidation zone.</t>
  </si>
  <si>
    <t>CN101750874 B | CN102017064 B | CN103901520 B</t>
  </si>
  <si>
    <t>2021-02-09</t>
  </si>
  <si>
    <t>2018-07-13</t>
  </si>
  <si>
    <t>2020-01-16</t>
  </si>
  <si>
    <t>Grating members and methods of forming are disclosed. In some embodiments a method includes providing an etch stop layer atop a substrate; and providing a grating layer on top of the etch stop layer. The method may further include providing a patterned mask layer over the grating layer; and etching the grating layer and the patterned mask layer to form a grating in the grating layer. The grating may include a plurality of angled members disposed at a non-zero tilt angle relative to a perpendicular to a plane of the substrate and wherein the etching forms an over-etched region in the etch stop layer between the plurality of angled members.</t>
  </si>
  <si>
    <t>System and method for optimized formation of diffractive optical element gratings</t>
  </si>
  <si>
    <t>optical element|diffractive optical element|layer|reactive ion</t>
  </si>
  <si>
    <t>Varian Semiconductor Equipment Associates, Inc</t>
  </si>
  <si>
    <t>Applied Materials, Inc.</t>
  </si>
  <si>
    <t>Varian Semiconductor Equipment Associates, Inc.</t>
  </si>
  <si>
    <t>CN201980042758A</t>
  </si>
  <si>
    <t xml:space="preserve">A method of forming a grating structure comprising:providing an etch stop layer on top of the substrate;providing a grating layer on top of the etch stop layer;providing a patterned mask layer over the grating layer; andetching the grating layer and the patterned mask layer to form a grating in the grating layer, wherein the grating comprises a plurality of angled members disposed at a non-zero tilt angle relative to a perpendicular to a plane of the substrate, and wherein the etching causes formation of an overetched region in the etch stop layer.
</t>
  </si>
  <si>
    <t>1. A method of forming a grating structure comprising:providing an etch stop layer on top of the substrate;providing a grating layer on top of the etch stop layer;providing a patterned mask layer over the grating layer; andetching the grating layer and the patterned mask layer to form a grating in the grating layer, wherein the grating comprises a plurality of angled members disposed at a non-zero tilt angle relative to a perpendicular to a plane of the substrate, and wherein the etching causes formation of an overetched region in the etch stop layer.
2. The method of forming a grating member of claim 1, further comprising removing tilt and footing along the plurality of angled members.
3. The method of forming a grating member of claim 1, wherein an angle of a first sidewall of said plurality of angled members is substantially the same as an angle of a second sidewall of said plurality of angled members.
4. The method of forming a grating member according to claim 3, wherein said first and second sidewalls are approximately parallel to each other.
5. The method of forming a grating member of claim 1, wherein said etching comprises angled reactive ion etching into said grating layer.
6. The method of forming a grating member of claim 1, wherein said etching is performed by a ribbon-shaped reactive ion beam, wherein said substrate is scanned along a scan direction relative to said ribbon-shaped reactive ion beam using a process recipe, and wherein said ribbon-shaped reactive ion beam has a beam angle average and a beam spread, said beam spread being one of convergent or divergent.
7. The method of forming a grating member of claim 6, wherein said process recipe comprises a plurality of process parameters having the effect of changing a shape or size of said plurality of angled members.
8. The method of forming a grating member according to claim 7, wherein said plurality of process parameters comprise one or more of: a material of the grating layer, a chemical property of the ribbon-shaped reactive ion beam relative to the grating layer and the mask layer formed on top of the grating layer, the etch stop layer formed below the grating layer, a ribbon-shaped reactive ion beam intensity, a relative pressure of different gases used to form the ribbon-shaped reactive ion beam, a temperature at which the ribbon-shaped reactive ion beam is formed, a ribbon-shaped reactive ion beam angle, and a ribbon-shaped reactive ion beam spread.
9. The method of forming a grating member of claim 1, wherein forming the grating comprises:forming a pattern into a wafer; andtransferring the pattern to the grating layer using a nanoimprint lithography process.
10. A method of forming a grating structure comprising:providing an etch stop layer on top of the substrate;providing a grating layer on top of the etch stop layer;providing a patterned mask layer over the grating layer; andetching the grating layer and the patterned mask layer to form a grating in the grating layer, wherein the grating comprises a plurality of angled members disposed at a non-zero tilt angle relative to a perpendicular to a plane of the substrate, and wherein the etching forms an overetched region in the etch stop layer between the plurality of angled members.
11. The method of forming a grating member of claim 10, further comprising removing tilt and footing along the plurality of angled members.
12. The method of forming a grating member of claim 10, wherein an angle of a first sidewall of said plurality of angled members is approximately parallel to a second sidewall of said plurality of angled members after said over-etched region is formed in said etch stop layer.
13. The method of forming a grating member of claim 10, wherein said etching comprises angled reactive ion etching into said grating layer.
14. The method of forming a grating member of claim 10, wherein said etching is performed by a ribbon-shaped reactive ion beam, wherein said substrate is scanned along a scan direction relative to said ribbon-shaped reactive ion beam using a process recipe, and wherein said ribbon-shaped reactive ion beam has a beam angle average and a beam spread, said beam spread being one of convergent or divergent.
15. A method of forming an augmented reality/metaverse device, the method comprising:providing an etch stop layer on top of the substrate;providing a grating layer on top of the etch stop layer;providing a patterned mask layer over the grating layer; andetching the grating layer and the patterned mask layer to form a grating in the grating layer, wherein the grating comprises a plurality of angled members disposed at a non-zero tilt angle relative to a perpendicular to a plane of the substrate, and wherein the etching forms an overetched region recessed into the etch stop layer between the plurality of angled members.</t>
  </si>
  <si>
    <t>Evans, Morgan|Meyer, Timmerman Thijssen Rutger|Olson, Joseph|Kurunczi, Peter F</t>
  </si>
  <si>
    <t>G02B0027094400</t>
  </si>
  <si>
    <t>G02B0027094400 | G02B0005185700 | G02B0027440000 | G02B0005184200 | G02B0027010300 | G03F0007000500 | G02B0027017000</t>
  </si>
  <si>
    <t>G02B02744000</t>
  </si>
  <si>
    <t>US20200018981A1|WO2020013995A1|TW202006424A|US10761334B2|CN112352188A|KR20210021397A|JP2021530736A</t>
  </si>
  <si>
    <t>US20200018981 A1 | WO2020013995 A1 | TW202006424 A | US10761334 B2 | CN112352188 A | KR20210021397 A | JP2021530736 A</t>
  </si>
  <si>
    <t>I-000206722465</t>
  </si>
  <si>
    <t>20 years from 2019-06-27 (file date)</t>
  </si>
  <si>
    <t>https://patentscout.innography.com/share/q9jpGdtL--Y60bOj5AoQfA%3D%3D</t>
  </si>
  <si>
    <t>2021-02-09-PUBLICATION|2021-03-02-ENTRY INTO FORCE OF REQUEST FOR SUBSTANTIVE EXAMINATION</t>
  </si>
  <si>
    <t>https://patentscout.innography.com/share/q9jpGdtL--Y60bOj5AoQfA%3D%3D/download</t>
  </si>
  <si>
    <t>https://v3.espacenet.com/publicationDetails/biblio?CC=CN&amp;NR=112352188A&amp;KC=A&amp;FT=D&amp;date=20210209&amp;DB=EPODOC&amp;locale=</t>
  </si>
  <si>
    <t>PCT/US2019/039384</t>
  </si>
  <si>
    <t>CN112352188 A</t>
  </si>
  <si>
    <t>US20200018981 A1</t>
  </si>
  <si>
    <t>马爽 | 臧建明 | Ma Shuang | Zang Jianming</t>
  </si>
  <si>
    <t>1. A method of forming a grating structure comprising:providing an etch stop layer on top of the substrate;providing a grating layer on top of the etch stop layer;providing a patterned mask layer over the grating layer; andetching the grating layer and the patterned mask layer to form a grating in the grating layer, wherein the grating comprises a plurality of angled members disposed at a non-zero tilt angle relative to a perpendicular to a plane of the substrate, and wherein the etching causes formation of an overetched region in the etch stop layer.</t>
  </si>
  <si>
    <t>10. A method of forming a grating structure comprising:providing an etch stop layer on top of the substrate;providing a grating layer on top of the etch stop layer;providing a patterned mask layer over the grating layer; andetching the grating layer and the patterned mask layer to form a grating in the grating layer, wherein the grating comprises a plurality of angled members disposed at a non-zero tilt angle relative to a perpendicular to a plane of the substrate, and wherein the etching forms an overetched region in the etch stop layer between the plurality of angled members.</t>
  </si>
  <si>
    <t>15. A method of forming an augmented reality/metaverse device, the method comprising:providing an etch stop layer on top of the substrate;providing a grating layer on top of the etch stop layer;providing a patterned mask layer over the grating layer; andetching the grating layer and the patterned mask layer to form a grating in the grating layer, wherein the grating comprises a plurality of angled members disposed at a non-zero tilt angle relative to a perpendicular to a plane of the substrate, and wherein the etching forms an overetched region recessed into the etch stop layer between the plurality of angled members.</t>
  </si>
  <si>
    <t>CN114136975 A | CN113324994 A</t>
  </si>
  <si>
    <t>2021-05-14</t>
  </si>
  <si>
    <t>2021-01-28</t>
  </si>
  <si>
    <t>2041-01-28</t>
  </si>
  <si>
    <t>The invention claims a defect detecting device of mirror-like object and detecting method thereof comprising an optical detecting system an industrial control computer a trigger controller a motion controller a three-shaft servo module the industrial control computer is connected with the motion controller; the three-shaft servo module can drive the optical detection system to scan the detected object under the action of the industrial control machine and the motion controller; the trigger controller can respectively with the three-axis servo module and the optical detection system; the optical detection system is connected with the industrial control machine; the optical detection system is used for collecting analyzing the surface data of the mirror surface object comprising a linear array camera an LED stripe light source a plurality of diffuse reflection light source Y direction ranging and color difference detection component and the X direction distance measuring component the defect detection device and detection method of the mirror surface object the collecting efficiency is high; the imaging quality is high; the system structure is compact and the cost is low.</t>
  </si>
  <si>
    <t>Defect detecting device of mirror-like object and detecting method thereof</t>
  </si>
  <si>
    <t>defect detecting device|defect detecting|optical detection system|optical detection|industrial control|array camera|signal|linear array camera</t>
  </si>
  <si>
    <t>Jiangsu Piaoma Intelligent Industrial Design Research Institute Co., Ltd.</t>
  </si>
  <si>
    <t>JIANGSU PIAOMA INTELLIGENT INDUSTRIAL DESIGN RESEARCH INSTITUTE CO., LTD.</t>
  </si>
  <si>
    <t>CN202110117450A</t>
  </si>
  <si>
    <t>1. A defect detection device of a type of mirror object, wherein comprising an optical detection system, an industrial control machine, a trigger controller; a motion controller and a three-shaft servo module; the industrial control machine is connected with the motion controller; the three-shaft servo module can drive the optical detection system to scan the detected object under the action of the industrial control machine and the motion controller; the trigger controller can respectively with the three-axis servo module and the optical detection system; the optical detection system is connected with the industrial control machine; the optical detection system is used for collecting, analyzing the surface data of the mirror surface object, comprising a linear array camera, LED strip light source, several diffuse reflection light source; Y direction distance measuring and color difference detecting component and X direction distance measuring component; the linear array camera and the LED stripe light source are symmetrical to the surface normal of the object to be detected; the diffuse reflection light source is uniformly distributed around the surface normal of the object to be detected; the Y-direction distance measuring and color difference detecting component comprises two Y-direction line laser; a color difference detection light source and a Y-direction surface array camera; two Y-direction line lasers are coplanar with the linear array camera, and are distributed on two sides of the linear array camera; the Y-direction surface array camera and the Y-direction linear laser respectively set on two sides of the surface normal of the detected object; the Y-direction surface array camera and the color difference detection light source are symmetrical about the surface normal of the object to be detected; the X direction distance measuring assembly comprises an X direction line laser and an X direction surface array camera; the X direction line laser is vertical to the coordinate system YOZ surface; the X direction surface array camera and the X direction line laser respectively set on two sides of the surface normal of the object to be detected.</t>
  </si>
  <si>
    <t>1. A defect detection device of a type of mirror object, wherein comprising an optical detection system, an industrial control machine, a trigger controller; a motion controller and a three-shaft servo module; the industrial control machine is connected with the motion controller; the three-shaft servo module can drive the optical detection system to scan the detected object under the action of the industrial control machine and the motion controller; the trigger controller can respectively with the three-axis servo module and the optical detection system; the optical detection system is connected with the industrial control machine; the optical detection system is used for collecting, analyzing the surface data of the mirror surface object, comprising a linear array camera, LED strip light source, several diffuse reflection light source; Y direction distance measuring and color difference detecting component and X direction distance measuring component; the linear array camera and the LED stripe light source are symmetrical to the surface normal of the object to be detected; the diffuse reflection light source is uniformly distributed around the surface normal of the object to be detected; the Y-direction distance measuring and color difference detecting component comprises two Y-direction line laser; a color difference detection light source and a Y-direction surface array camera; two Y-direction line lasers are coplanar with the linear array camera, and are distributed on two sides of the linear array camera; the Y-direction surface array camera and the Y-direction linear laser respectively set on two sides of the surface normal of the detected object; the Y-direction surface array camera and the color difference detection light source are symmetrical about the surface normal of the object to be detected; the X direction distance measuring assembly comprises an X direction line laser and an X direction surface array camera; the X direction line laser is vertical to the coordinate system YOZ surface; the X direction surface array camera and the X direction line laser respectively set on two sides of the surface normal of the object to be detected.2. The defect detecting device of the mirror-like object according to claim 1, wherein the linear array camera and the LED stripe light source included angle is 10 degrees to 60 degrees; the diffuse reflection light source and the detected object surface normal line included angle is 60 degrees to 80 degrees; the included angle between the Y-direction surface array camera and the surface normal of the detected object is 40 degrees to 60 degrees; the included angle between the X direction surface array camera and the surface normal of the detected object is 40 degrees to 60 degrees.3. The defect detecting device of the mirror-like object according to claim 1, wherein the diffuse reflection light source comprises a radiating fan, a heat conducting material, a patch LED, a light collecting rod and a diffusion film; the light of the patch LED is inclined to emit light source surface, the angle is 40 degrees to 50 degrees.4. The defect detection device of the mirror-like object according to claim 1, wherein there are 4 diffuse reflection light sources.5. A defect detection method of the mirror surface object, using the defect detection device of the similar mirror surface object according to claim 1-4, wherein it comprises the following steps: 1) the industrial control machine is communicated with the motion controller, the three-axis servo module moves in the X direction, the three-axis servo module in the moving process, each distance to the trigger controller sends a position signal with a frequency of 1KHz, the position signal is counted and number is [1, 2; 3 ...), after the trigger controller receives the signal, respectively each component in the optical detection system; 2) the trigger controller sends out 8 trigger pulses with frequency of 20KHz to the LED stripe light source, through setting the LED stripe light source inside LED lamp bead brightness, making the LED stripe light source high speed stroboscopic out of the transverse; vertical 4 sine phase shift fringe image; at the same time, the trigger controller sends 8 trigger pulse with frequency of 20KHz to the linear array camera, the linear array camera in the time of lighting the LED stripe light source, collecting 4 deflex transverse phase shift image and 4 deflection vertical phase shift image; 8 rows of images; 3) the trigger controller sends trigger pulse with frequency of 20KHz to the diffuse reflection light source in turn; the diffuse reflection light source is orderly lighted; at the same time, the trigger controller orderly sends 4 trigger pulses with frequency of 20KHz to the linear array camera; making the linear array camera in the diffuse reflection light source orderly lighting time, orderly collecting 4 rows of photometric stereo corresponding image; 4) the linear array camera according to step 2) and step 3) to finish one position of the drawing, 12 rows of images, then waiting for the three-axis servo module of the next position signal and the trigger pulse of the trigger controller; 5) the number is 1 the frequency of 1 KHz of the X axis position signal, after the linear array camera according to step 2) and step 3) after finishing drawing; the trigger controller sends a trigger pulse with a frequency of 125Hz to the two Y-direction line lasers in the Y-direction distance measuring and colour difference detecting assembly to light the Y-direction line laser and simultaneously; the trigger controller sends the trigger pulse with the frequency of 250 Hz to the Y-direction distance measuring and the Y-direction surface array camera in the colour difference detecting assembly; the Y-direction surface array camera collects the corresponding image of the Y-direction laser triangle method in the time of the Y-direction linear laser lighting; 6) the number is 2 the frequency is 1KHz of the X axis position signal, after the linear array camera according to step 2) and step 3) after finishing drawing; the trigger controller sends a trigger pulse with a frequency of 125Hz to the colour difference detection light source in the Y-direction distance measurement and colour difference detection component so that the colour difference detection light source is lightened; the trigger controller sends trigger pulse with frequency of 250 Hz to the Y-direction area array camera in the Y-direction distance measuring and colour difference detecting component; the Y-direction area array camera collects the RGB colour image; 7) in the X axis position signal with the number of 3 frequency of 1KHz, after finishing the line array camera according to step 2) and step 3), the trigger controller sends the trigger pulse with frequency of 1Hz to the X direction line laser, the X direction line laser is lighted, at the same time; the trigger controller sends trigger pulse with frequency of 1Hz to the X direction surface array camera; the X direction surface array camera collects X direction laser triangular method corresponding image; 8) the number is 9, 17; 25 ... 8 * 124 + 1 frequency of 1KHz in the X axis position signal, after finishing the line array camera according to step 2) and step 3), the trigger controller according to step 5) sends the trigger signal, the optical detection system collects the Y-direction laser triangular corresponding image; 9) the number is 10, 18; 26 ... 8 * 124 + 2 frequency is 1KHz in the X axis position signal, after finishing the line array camera according to step 2) and step 3), the trigger controller according to step 6) sends the trigger signal, the optical detection system collects the RGB colour image; 10) the X axis position signal corresponding to the number not mentioned in the above steps, after finishing the line array camera according to step 2) and step 3), the trigger controller does not send trigger signal to each component in the optical detection system; 11) the number 1 to 1000 of the X axis position signal according to the step chart is finished, finishing a collection period, in one period, collecting the X direction laser triangular method corresponding to the image 1, collecting the Y-direction laser triangular method corresponding to the image 125, collecting the RGB colour image 125; the linear array camera collects the image 12000 rows; 12) entering the subsequent drawing cycle, repeating step 5) to step 11) for image collection, wherein the number is 1003, 2003; the frequency of 3003 ... 1000 *n + 3 is 1KHz of the X axis position signal, the optical detection system according to step 7) collecting X direction laser triangular method corresponding to the image; 13) the X direction distance measuring component collects the X direction laser triangular method corresponding to the image record is detected object surface height information along the X axis direction, when the detected object surface height change and normal change exceeds the set threshold value, the signal is fed back to the industrial control machine; the industrial control machine and the motion controller send signal to the three-axis servo module; the three-axis servo module adjusts the position of the optical detection system relative to the detected object in the coordinate Z axis and RY axis.6. The defect detection method of the mirror-like object according to claim 5, wherein the step of processing the collected original image is as follows: 1) at each sampling position, the original image collected by the linear array camera is co-height row, namely [0, 1, 2, 3, ... (height-1)], dividing it into 12 images; the splitting method is as follows: Image1 = 12 * [0, 1, 2, 3, 4 ... (height/12) -1] Image2 = 12 * [0, 1, 2, 3, 4 ... (height/12) -1] + 1Image3 = 12 * [0, 1, 2, 3; 4 ... (height/12) -1] + 2 ... Image12 = 12 * [0, 1, 2, 3, 4 ... (height/12) -1] + 11, wherein Image1 to Image4 is the metaverse phase shift image, Image5 to Image8 is the deflection vertical phase shift image; Image9 ~ Image12 is the corresponding image of the photometric stereo method; there are 12 images; 2) calculating the Image1 to Image12 to obtain the glossiness image under the incident angle, extracting the diffuse reflection illumination image in the image, mirror surface reflecting illumination image, and a back-illumination rate image; 3) according to the four-step phase shift principle, calculating the transverse wrapping phase diagram by 4 of the deflection transverse phase shift image; calculating the vertical wrapping phase diagram by 4 of the deflection vertical phase shift image; calculating the normal vector of the surface of the measured object through the corresponding image of 4 amplitude stereo method; and decomposing it into a photometric stereo gradient map and a photometric stereo column gradient map; 4) through laser triangle principle and calibration information, calculating the corresponding image of the Y-direction laser triangular method to obtain the height map of the triangle method; 5) splicing the collected multiple RGB colour images, splicing the images, obtaining the colour image of the surface of the measured object, converting the colour image into the LAB space, forming a colour difference image, detecting the colour related defect; 6) combining the transverse wrapping phase diagram; vertically wrapping the phase diagram; the photometric stereo method gradient map; the photometric stereo method column gradient map; and the triangular height map; performing the unwrapping operation of the metafolding operation; obtaining the transverse phase diagram and the vertical phase diagram; 7) combining the calibration information; calculating the partial refractive index gradient image of the surface normal vector of the measured object in the phase measurement metafolding system composed of the linear array camera and the LED stripe light source; and a partial refractive index gradient map and a curve rate graph; 8) according to the image analysis, obtaining 9 synthetic images, respectively is glossiness image, mirror surface reflection illumination image, diffuse reflection illumination image, reflection rate image, colour difference image, triangular height map, partial folding operation gradient map, deflection column gradient map and curve rate graph, analyzing by Blob analysis, edge extraction; template matching, color space conversion, frequency domain analysis and other traditional image processing method and deep learning algorithm, detecting the abnormal area of each composite image, obtaining the defect suspected area of the object to be detected; 9) for the 2 D defect of the mirror-like object, such as color difference defect, dirty defect, texture defect, the defect suspected area of the object to be detected, according to the 2 D defect standard to judge; 10) for the mirror-like object of the 3 D defect, such as scratch damage type defect, concave-convex type defect, the detected object of the defect suspected area of the triangular method height map, deflection operation gradient map; independently extracting the bias column gradient map, combining the calibration information for three-dimensional reconstruction, obtaining the relative height map, to determine whether the relative height change of the area reaches the standard of the 3 D defect.</t>
  </si>
  <si>
    <t>Cao, Wen|Luo, Huadong|Zhou, Yong|Wu, Hao|Ji, Songlin</t>
  </si>
  <si>
    <t>G01N0021950000</t>
  </si>
  <si>
    <t>G01N0021950000 | G01N0021410000 | G01N0021880600 | G01N0021885100 | G01N0021940000 | G01N2021417300 | G01N2021951100</t>
  </si>
  <si>
    <t>G01N02195000</t>
  </si>
  <si>
    <t>G01N02195000 | G01N02141000 | G01N02188000 | G01N02194000</t>
  </si>
  <si>
    <t>073028040</t>
  </si>
  <si>
    <t>CN112798617A</t>
  </si>
  <si>
    <t>CN112798617 A</t>
  </si>
  <si>
    <t>I-000210116400</t>
  </si>
  <si>
    <t>20 years from 2021-01-28 (file date)</t>
  </si>
  <si>
    <t>https://patentscout.innography.com/share/0yt15ZUKi9sWuklLesLPMw%3D%3D</t>
  </si>
  <si>
    <t>2021-05-14-PUBLICATION|2021-06-01-ENTRY INTO FORCE OF REQUEST FOR SUBSTANTIVE EXAMINATION</t>
  </si>
  <si>
    <t>https://patentscout.innography.com/share/0yt15ZUKi9sWuklLesLPMw%3D%3D/download</t>
  </si>
  <si>
    <t>https://v3.espacenet.com/publicationDetails/biblio?CC=CN&amp;NR=112798617A&amp;KC=A&amp;FT=D&amp;date=20210514&amp;DB=EPODOC&amp;locale=</t>
  </si>
  <si>
    <t>Qiao Nan | 乔楠</t>
  </si>
  <si>
    <t>1.  1.  A defect detection device of a type of mirror object, wherein comprising an optical detection system, an industrial control machine, a trigger controller; a motion controller and a three-shaft servo module; the industrial control machine is connected with the motion controller; the three-shaft servo module can drive the optical detection system to scan the detected object under the action of the industrial control machine and the motion controller; the trigger controller can respectively with the three-axis servo module and the optical detection system; the optical detection system is connected with the industrial control machine; the optical detection system is used for collecting, analyzing the surface data of the mirror surface object, comprising a linear array camera, LED strip light source, several diffuse reflection light source; Y direction distance measuring and color difference detecting component and X direction distance measuring component; the linear array camera and the LED stripe light source are symmetrical to the surface normal of the object to be detected; the diffuse reflection light source is uniformly distributed around the surface normal of the object to be detected; the Y-direction distance measuring and color difference detecting component comprises two Y-direction line laser; a color difference detection light source and a Y-direction surface array camera; two Y-direction line lasers are coplanar with the linear array camera, and are distributed on two sides of the linear array camera; the Y-direction surface array camera and the Y-direction linear laser respectively set on two sides of the surface normal of the detected object; the Y-direction surface array camera and the color difference detection light source are symmetrical about the surface normal of the object to be detected; the X direction distance measuring assembly comprises an X direction line laser and an X direction surface array camera; the X direction line laser is vertical to the coordinate system YOZ surface; the X direction surface array camera and the X direction line laser respectively set on two sides of the surface normal of the object to be detected.</t>
  </si>
  <si>
    <t>US20210182715 A1 | CN115063056 A</t>
  </si>
  <si>
    <t>2022-10-11</t>
  </si>
  <si>
    <t>Typical autonomous systems implement black-box models for tasks such as motion detection and triaging failure events and as a result are unable to provide an explanation for its input features. An explainable framework may utilize one or more explainable white-box architectures. Explainable models allow for a new set of capabilities in industrial commercial and non-commercial applications such as behavioral prediction and boundary settings and therefore may provide additional safety mechanisms to be a part of the control loop of automated machinery apparatus and systems. An embodiment may provide a practical solution for the safe operation of automated machinery and systems based on the anticipation and prediction of consequences. The ability to guarantee a safe mode of operation in an autonomous system which may include machinery and robots which interact with human beings is a major unresolved problem which may be solved by an exemplary explainable framework.</t>
  </si>
  <si>
    <t>US17/525602</t>
  </si>
  <si>
    <t>VINCENT GONZALES</t>
  </si>
  <si>
    <t xml:space="preserve">A method for providing at least one behavioral model for an explainable architecture, comprising:
identifying at least one explainable model comprising a plurality of internal coefficients and a plurality of conditional constraints;
identifying a plurality of events from the at least one explainable model, wherein each event in the plurality of events is identified from one or more of the conditional constraints;
identifying a plurality of triggers configured to activate a plurality of actions based on an activation of one or more of the plurality of events;
triggering one or more actions based on the identified plurality of events and the plurality of conditional constraints;
triggering one or more feedback actions based on the identified plurality of events and the plurality of conditional constraints; and
outputting a model interpretation of the at least one explainable model, the model interpretation comprising an impact of one or more nodes within the at least one behavioral model.
</t>
  </si>
  <si>
    <t>1. A method for providing at least one behavioral model for an explainable architecture, comprising:
identifying at least one explainable model comprising a plurality of internal coefficients and a plurality of conditional constraints;
identifying a plurality of events from the at least one explainable model, wherein each event in the plurality of events is identified from one or more of the conditional constraints;
identifying a plurality of triggers configured to activate a plurality of actions based on an activation of one or more of the plurality of events;
triggering one or more actions based on the identified plurality of events and the plurality of conditional constraints;
triggering one or more feedback actions based on the identified plurality of events and the plurality of conditional constraints; and
outputting a model interpretation of the at least one explainable model, the model interpretation comprising an impact of one or more nodes within the at least one behavioral model.
2. The method of claim 1, further comprising
identifying a desired behavioral model (DBM);
forming an observed behavioral model (OBM) by monitoring one or more sensors,
outputting an expected behavioral model based on the desired behavioral model and the observed behavioral model; and
identifying one or more safety assurances or constraints represented as another behavioral model.
3. The method of claim 1, wherein the model interpretation comprises at least one of a prediction of an output of a sub-component of the at least one explainable model, a model explanation of the prediction of the output of the sub-component, and a justification of the model explanation.
4. The method of claim 3, wherein the model interpretation includes at least the justification of the model explanation, and wherein the justification comprises data identifying one or more assumptions, processes, and decisions of the at least one explainable model.
5. The method of claim 1, wherein the model interpretation comprises one or more of a basic interpretation, an explanatory interpretation, and a meta-explanatory interpretation.
6. The method of claim 1, wherein one or more of the plurality of events form an event stream pipeline, the event stream pipeline comprising a plurality of events fired from a same sub-component and a terminal action.
7. The method of claim 1, further comprising:
identifying one or more criteria measures based on at least one of model performance, bias reduction, and risk management;
assessing the at least one behavioral model based on the criteria measures using one or more of: game theory, multiple objective optimization, a Pareto front method, particle swarm optimization, a genetic algorithm, Bayesian optimization, an evolutionary strategy, a gradient descent technique, and a Monte Carlo simulation; and
verifying the behavioral model using one or more of: a temporal logic of actions, abstract machine notation, computation tree logic, modal logics, intuitionistic logics, Kripke semantics and/or Alexandrov topologies.
8. The method of claim 1, further comprising identifying at least one causal model, and wherein the plurality of events are identified from the at least one causal model in addition to the at least one explainable model wherein the at least one causal model is configured to implement causal logic and at least one of deductive logic, abductive logic, and inductive logic.
9. The method of claim 1, further comprising receiving event data from a workflow system and outputting processed data to the workflow system.
10. The method of claim 1, wherein the feedback actions are configured to cyclically or acyclically trigger one or more subcomponents of the at least one explainable model to execute a further one or more events from the plurality of events or to update one or more of the internal coefficients or sub-components of the at least one explainable model.
11. The method of claim 1, further comprising processing sequential data comprising one or more of: 2D data, 3D data, one or more multi-dimensional data arrays, transactional data, one or more time series, one or more digitised samples, sensor data, image data, hyper-spectral data, natural language text, video data, audio data, haptic data, LIDAR data, RADAR data, and SONAR data; and
wherein the sequential data comprises one or more associated labels indicating an output value or a classification for a single data point or a continuous or non-continuous interval of data points, and wherein the sequential data is received from an internal and/or external process outputting one or more of synthetic data points, perturbed data, sampled data, or transformed data.
12. The method of claim 1, wherein the conditional constraints are associated with at least one local model, and wherein a global model of the at least one explainable model is provided that comprises a plurality of local models, and wherein the conditional constraints are in a first order logic form, a conjunctive normal form, or a disjunctive normal form.
13. The method of claim 1, wherein the conditional constraints further comprise one or more neuro-symbolic constraints in a form comprising one or more of: symbolic rules or a system of symbolic expressions, polynomial expressions, conditional and non-conditional probability distributions, joint probability distributions, state-space and phase-space transforms, integer/real/complex/quaternion/octonion transforms, Fourier transforms, Walsh functions, Haar and non-Haar wavelets, generalized L2 functions, fractal-based transforms, Hadamard transforms, Type 1 and Type 2 fuzzy logic, topological transforms of Kolmogorov/Frechet/Hausdorff/Tychonoff spaces, and difference analysis.
14. The method of claim 1, wherein the conditional constraints further comprise at least one proximity constraints, wherein each proximity constraints identifies a boundary range of a value representing an internal state of one or more sub-components of the one or more explainable models.
15. The method of claim 14, further comprising transforming a combination of the boundary range, one or more tolerances, and one or more confidence intervals using a transformation function.
16. The method of claim 15, wherein the transformation function comprises one or more of: a feedback loop control method, Nyquist control, Bode plot, fuzzy logic transform, transforms learnt via gradient descent methods, transforms specified via rule systems, first order logic, rotations, dimensional scaling, dimensionless scaling, Fourier transforms, Walsh functions, state-space transforms, phase-space transforms, Haar and non-Haar wavelets, generalized L2 functions, fractal-based transforms, Hadamard transforms, knowledge graph networks, categorical encoding, topological transforms of Kolmogorov/Frechet/Hausdorff/Tychonoff spaces, difference analysis, and causal operators.
17. The method of claim 1, wherein the at least one explainable model is a plurality of explainable models forming a distributed explainable architecture, wherein each explainable model from the distributed explainable architecture operates independently, and an output of the explainable models is aggregated to form an output of the distributed explainable architecture.
18. The method of claim 1, wherein the triggers are configured to link one or more conditions with a historic rate of activations.
19. The method of claim 1, wherein the behavioral model is implemented in at least one of an explainable Machine Learning System, Interpretable Machine Learning System, Explainer, Filter, Interpreter, Explanation Scaffolding, and Interpretation Scaffolding within an Explanation and Interpretation Generation System (EIGS) and/or an Explanation-Filter-Interpretation (EFI) model.
20. The method of claim 1, wherein events further comprise at least one concern event configured to alert a user of a safety concern, and wherein the behavioral model further comprises a supervisory control and data acquisition system comprising a human-machine interface, wherein the behavioral model communicates one or more system issues to a user via the human-machine interface and wherein the human-machine interface is configured to receive a user input.
21. The method of claim 1, wherein one or more sub-components of one or more of the explainable models further comprise a named reference label, each named reference label comprising a descriptive meta-data or a symbolic expression in a first order logic form indicating a path trace, and further comprising forming a behavioral specification comprising a set of initial states and a plurality of execution traces corresponding to the initial states.
22. The method of claim 1, wherein the behavioral model is implemented in a data privacy preserving system, a virtual reality system, an augmented reality system, and/or a metaverse system.
23. The method of claim 1, wherein one or more of the explainable models are implemented on at least one of a digital electronic circuit, analog circuit, a digital-analog hybrid, integrated circuit, application specific integrated circuit (ASIC), field programmable gate array (FPGA), neuromorphic circuit, optical circuit, optical-electronic hybrid, and quantum computing hardware.
24. The method of claim 1, further comprising injecting a human-defined rule into the at least one explainable model, wherein the human-defined rule comprises a fixed modification to one or more of the internal coefficients and verifying the model interpretation against a specification of desired behavior comprising at least one safety assurance.
25. The method of claim 1, further comprising one or more one or more conditional constraints between a behavioral specification of an observed behavioral model and an expected behavioral model, and monitoring for one or more deviations between the expected behavioral model and one or more empirical observations in one or more execution sequences of the observed behavioral model.
26. A system for modeling system behavior, comprising:
at least one behavioral model comprising one or more explainable models, each explainable model in the one or more explainable models comprising one or more local models, wherein each local model comprises a plurality of internal coefficients indicating feature attributions of an output of the local models;
a plurality of conditional constraints applied to at least one of the internal coefficients of the local models or the output of the local models;
a plurality of events identified from an activation of one or more of the conditional constraints;
a plurality of triggers configured to activate a plurality of actions based on an activation of one or more of the plurality of events; and
one or more feedback actions based on the plurality of events and plurality of conditional constraints configured to update the internal coefficients of the local models.
27. The system for modeling system behavior of claim 26, wherein the at least one behavioral model is two or more behavioral models arranged in a behavioral model hierarchy, said behavioral model hierarchy further comprising a plurality of super-states configured to communicate between the two or more behavioral models, said behavioral model hierarchy further comprising a plurality of generalized transitions between the two or more behavioral models, wherein the super-states are configured to prevent one or more redundant transitions, and wherein a basis of the super-states is formed by one or more internal states or outputs of at least one of: the two or more behavioral models or the one or more explainable models.
28. The system for modeling system behavior of claim 26, wherein the at least one behavioral model is configured to predict future operational spaces associated with an out of distribution area.
29. The system for modeling system behavior of claim 26, further comprising at least one of a graph, hypergraph, and simplicial structure.
30. The system for modeling system behavior of claim 26, wherein the behavioral model comprises a quantum causal behavioral model configured to model quantum decoherence effects and one or more of a qubit state, qubit basis state, mixed states, Ancilla bit, and one or more quantum logic operators, wherein the quantum logic operators comprise one or more of a controlled-NOT, a controlled-swap, an Isling coupling gate, a Pauli gate, a Hadamard gate, or a Toffoli gate, and further comprising identifying one or more quantum annealing effects, wherein one or more of a Shor's algorithm, Quantum Phase estimation algorithm, Grover's algorithm, Quantum Counting, Quantum Hamiltonian NAND trees, or HHL algorithm is applied to one or more conditions, events, and/or triggers of the quantum behavioral model; and
one or more quantum transforms or quantum algorithm configured to predict and refine one or more boundary conditions of the behavioral model.</t>
  </si>
  <si>
    <t>US11468350 B2</t>
  </si>
  <si>
    <t>G06N00504000 | G06N02000000</t>
  </si>
  <si>
    <t>I-000225188713</t>
  </si>
  <si>
    <t>Application expired due to grant (US11468350 B2)</t>
  </si>
  <si>
    <t>https://patentscout.innography.com/share/_on3Y5WMDWbScc-XazsGvQ%3D%3D</t>
  </si>
  <si>
    <t>2020-11-13-ASSIGNMENT (UMNAI LIMITED)|2021-11-12-FEE PAYMENT PROCEDURE|2022-05-05-INFORMATION ON STATUS: PATENT APPLICATION AND GRANTING PROCEDURE IN GENERAL|2022-06-03-INFORMATION ON STATUS: PATENT APPLICATION AND GRANTING PROCEDURE IN GENERAL|2022-09-08-INFORMATION ON STATUS: PATENT APPLICATION AND GRANTING PROCEDURE IN GENERAL|2022-09-21-INFORMATION ON STATUS: PATENT GRANT</t>
  </si>
  <si>
    <t>https://patentscout.innography.com/share/_on3Y5WMDWbScc-XazsGvQ%3D%3D/download</t>
  </si>
  <si>
    <t>https://ppubs.uspto.gov/pubwebapp/external.html?q=20220156614.pn.</t>
  </si>
  <si>
    <t>1. A method for providing at least one behavioral model for an explainable architecture, comprising:
identifying at least one explainable model comprising a plurality of internal coefficients and a plurality of conditional constraints;
identifying a plurality of events from the at least one explainable model, wherein each event in the plurality of events is identified from one or more of the conditional constraints;
identifying a plurality of triggers configured to activate a plurality of actions based on an activation of one or more of the plurality of events;
triggering one or more actions based on the identified plurality of events and the plurality of conditional constraints;
triggering one or more feedback actions based on the identified plurality of events and the plurality of conditional constraints; and
outputting a model interpretation of the at least one explainable model, the model interpretation comprising an impact of one or more nodes within the at least one behavioral model.</t>
  </si>
  <si>
    <t>26. A system for modeling system behavior, comprising:
at least one behavioral model comprising one or more explainable models, each explainable model in the one or more explainable models comprising one or more local models, wherein each local model comprises a plurality of internal coefficients indicating feature attributions of an output of the local models;
a plurality of conditional constraints applied to at least one of the internal coefficients of the local models or the output of the local models;
a plurality of events identified from an activation of one or more of the conditional constraints;
a plurality of triggers configured to activate a plurality of actions based on an activation of one or more of the plurality of events; and
one or more feedback actions based on the plurality of events and plurality of conditional constraints configured to update the internal coefficients of the local models.</t>
  </si>
  <si>
    <t>2023-05-12</t>
  </si>
  <si>
    <t>reinforcement learning|explanation|reinforcement learning system|interpretation</t>
  </si>
  <si>
    <t>EP2021081600W</t>
  </si>
  <si>
    <t>1. A system for implementing explainability in reinforcement learning, wherein the system comprises at least one processor configured to execute operations of the reinforcement learning, the system comprising: at least one reinforcement learning (RL) agent for interacting with an environment, wherein said at least one RL agent interacts with the environment by performing one or more actions selected from the action space in response to receiving observations of a state from the state space of the environment; and at least one implementation configured to introduce the explainability as part of said at least one RL agent for providing at least one explainable RL (XRL) agent that explores the environment, wherein said at least one XRL agent is configured to generate explanations and learn from said explanations during exploration; wherein said explanations are incorporated as part of state space and/or action space forming the explainable state and/or the explainable action with respect to said at least one XRL agent, wherein the explanations comprise a combination of agent generated and learnt explanations and environment derived and learnt explanations.</t>
  </si>
  <si>
    <t>1. A system for implementing explainability in reinforcement learning, wherein the system comprises at least one processor configured to execute operations of the reinforcement learning, the system comprising: at least one reinforcement learning (RL) agent for interacting with an environment, wherein said at least one RL agent interacts with the environment by performing one or more actions selected from the action space in response to receiving observations of a state from the state space of the environment; and at least one implementation configured to introduce the explainability as part of said at least one RL agent for providing at least one explainable RL (XRL) agent that explores the environment, wherein said at least one XRL agent is configured to generate explanations and learn from said explanations during exploration; wherein said explanations are incorporated as part of state space and/or action space forming the explainable state and/or the explainable action with respect to said at least one XRL agent, wherein the explanations comprise a combination of agent generated and learnt explanations and environment derived and learnt explanations.
2. The system of claim 1, wherein said at least one implementation comprises an explainable value function provided using one or more optimization and dynamic programming techniques, wherein the explainable value function makes use of an explainable state and an explainable action with respect to said least one XRL agent; and/or wherein said at least one implementation comprises an explainable value function provided using one or more optimization and dynamic programming techniques, wherein the explainable value function makes use of an explainable state and an explainable action with respect to said least one XRL agent; and wherein said one or more optimization and dynamic programming techniques comprise an explainable multi-stage optimization technique, explainable temporal difference optimization technique, and explainable multi-stage dynamic programming technique; and/or wherein said at least one implementation comprises an explainable value function provided using one or more optimization and dynamic programming techniques, wherein the explainable value function makes use of an explainable state and an explainable action with respect to said least one XRL agent; and wherein said one or more optimization and dynamic programming techniques comprise at least a Bellman equation; and/or wherein said one or more optimization and dynamic programming techniques are purposed to decompose the value function into an immediate reward and discounted future values in order to make use of the explainable state and/or the explainable action as part of the explainable value function for generating explanations during the reinforcement learning.
3. The system of claim 1 or 2, wherein said at least one implementation comprises an induction method that makes use of an experience dataset comprises a sequential record of states, actions and rewards, wherein the experience dataset is used in relation to at least one supervised white- box model that is configured to mimic the reinforcement learning; and/or wherein said at least one white-box model comprises an Explainable Artificial Intelligence model (XAI), an interpretable neural network (INN), an explainable transducer transformer (XTT), an explainable GAN (XGAN), an explainable auto-encoder/decoder (XAED), an explainable spiking network (XSN), an explainable memory network (XMN), or a logically equivalent explainable model thereof; and/or wherein said at least one XRL agent, in response to receiving said observations, performs an action in accordance with an output from said at least one white-box model; and/or wherein said at least one supervised white-box model is an explainable model.
4. The system of any preceding claims, wherein said at least one implementation comprises an explainable generative adversarial network (XGAN) architecture configured to train occupancy measure of a reinforcement learning policy using explainable generative adversarial imitation learning (XGAIL); and/or wherein the XGAN architecture provides said explanations in hierarchical levels associated with partitioning information, internal coefficients of an explainable model in relation to the reinforcement learning, and feature attributions of input features referring to trajectories of the reinforcement learning policy of an expert; and/or wherein the XGAN architecture comprises a discriminator and a generator, wherein the discriminator is configured to distinguish true explanations from simulated explanations provided by the generator; wherein the discriminator is configured to provide feedback to the generator comprises a simulator model that receives constraint updates and priors from a simulator constraint model for providing the explanations; wherein the received the constraint updates and priors are represented by a combination of statistical, causal, and symbolic knowledge; wherein the simulator comprises a black-box model, a grey-box model, an explainable model, a symbolic model, a formal language, neuro-symbolic model, logical model, statistical model, causal model, and a hybrid model; and wherein the discriminator receives input from one or more sources comprise an expert- derived source, a simulator source in relation to the simulator model, an environmental source with respect to the reinforcement learning and said at least one XRL agent.
5. The system of any preceding claims, wherein said at least one implementation comprises an architecture based on quantum explainable reinforcement learning (XQRL) and at least one Explainable Quantum Reinforcement Learning (XQRL) agent for interacting with the environment of the reinforcement learning implemented on a quantum computing hardware; and/or wherein the architecture is configured to use one or more quantum equivalent optimization and dynamic processing techniques for providing the explainability in the reinforcement learning; and/or wherein the architecture is configured to use one or more quantum equivalent optimization and dynamic programming techniques comprise at least a Bellman equation with quantum eigenstates of said at least one XQRL agent that uses corresponding orthogonal bases for the action space, the state space and associated explanation space; and/or wherein the architecture comprises an orthogonal set of eigen states and/or eigen actions, wherein the orthogonal set provides an expandable number of explainable states and/or explainable actions for said least one XQRL agent; and/or wherein the architecture comprises a set of eigen explainable states provided by a tensor product of XQRL states and explainable state space; and/or wherein the XQRL states of explainable state space can be expanded into an orthogonal set of eigen states when applying one or more iteration methods; and/or wherein said at least one XQRL agent in a superposition of Q states; and/or wherein the system implemented on a quantum computing hardware comprises qubits, wherein the qubits are processed simultaneously by the system using a unitary operator transformation.
6. The system of any preceding claims, wherein the environment for the reinforcement learning comprises a model representative of a world and/or the environment to which said at least one XRL agent interacts.
7. The system of any preceding claims, further comprising: an explanation generation pipeline for providing said explanations based on an input query, wherein the explanation generation pipeline comprises at least one Explainable or Interpretable system, Explainer, and Interpreter for providing the explanations and/or interpretations to the explanations; and/or wherein the input query comprises at least one data sample, scenario, and question, or a combination thereof; and/or wherein the explanations and/or interpretations are consumed by one or more user, application, system component, and/or system; and/or further comprising at least one Interpretation XRL (IXRL) agent in place of said at least one XRL agent, wherein the IXRL is provided with and generates interpretations in relation to the explanations using the explanation generation pipeline.
8. The system of claim 7, wherein the Explainable or Interpretable system is configured to generate an answer and a model explanation of the answer; and/or wherein the Explainable or Interpretable System is further configured to provide a justification of the answer and/or the model explanation. 
9. The system of claim 7 or 8, wherein the Explainer is configured to generate an explanation scaffolding for providing explanations, wherein the explanation scaffolding iteratively evaluates an input query using unsupervised and/or supervised learning to optimize the explanations for output; and/or wherein the Explainer is further configured to generate candidate explanation for the iterative evaluation process; and/or wherein the Explainer is further configured to convert the explanation scaffolding to an interpretation scaffolding for use by the Interpreter
10. The system of claims 7 to 9, wherein the Interpreter is configured to generate the explanations for use by the system for implementing the explainability to the reinforcement learning; and/or wherein the Interpreter comprises one or more filters for generating the explanations and/or interpretations.
11. The system of any preceding claims, further comprising: a combination of an Explainable Machine Learning System, Interpretable Machine Learning System, Explainer, Filter, Interpreter, Explanation Scaffolding, and Interpretation Scaffolding within context of an Explanation and Interpretation Generation System (EIGS) and an Explanation-Filter-Interpretation (EFI) model, wherein said combination is implemented as part of the system for the explainability or used in conjunction with the system; and/or wherein the EFI model is used in context of the EIGS. 
109 
12. The system of any preceding claims, wherein said at least one RL agent or XRL agent interacts with the environment using a Markov Decision Process (MDP) or a Partially Observable MDP (POMDP).
13. The system of any preceding claims, wherein at least one implementation comprises an adapted Bellman equation with an addition of an explainable state x_s and an explainable action x_a or a replacement thereof, wherein for each explainable action x_a the system consumes and/or generates one or more explanations for current state s such that for said one or more explanations generated are stored in the explanation state space x_s.
14. The system of any preceding claims, wherein the reinforcement learning comprises deep explainable Q-leaming (DXQL) and a Q value function Qx, wherein Q value function is computed using one or more explainable architectures.
15. The system of claim 14, upon non-converging Qx or where any Q-value excess a threshold, the DXQL is configured to apply one or more mitigation strategies to minimize or regularize the Qx; and/or wherein said one or more mitigation strategies comprise 1) a minimization of the Qx followed by a comparison of the Q-value with another static or dynamic value and 2) a regularization at each step of the Qx calculation in relation to weights of the Qx such that the weights are within a numerical range.
16. The system of any preceding claims, wherein said at least one XRL agent is configured to act on explanation space in relation to the action space without said at least one XRL agent affecting or acting on the environment of the reinforcement learning; and/or 
110 wherein said at least one XRL is purposed for providing an optimal or sub-optimal solution to a situation being solved by said at least one RL agent in terms of providing explanations or interpretations, justification, model fitting, scenario reasoning, planning for the situation.
17. The system of any preceding claims, wherein said at least one XRL agent is configured to: 1) explain actions and decisions made in an audit-like manner when exploring the environment, where each action or decision taken is recorded and traceable by the system in relation the explanations; and 2) enable the system to serve as a predictive function or model that acts using an explanatory model space together with an observed space; and/or when serving as the predictive function or model, the system provides a measure of the plausibility by enabling said at least one XRL agent to compare various states of the reinforcement learning; and/or wherein the system is configured to use the explanatory model space in relation to said at least one XRL agent to interact with environments that exhibit partial observability.
18. The system of any preceding claims, wherein said at least one XRL agent is adapted to using one or more causal models and simulator constraint models for implementing plausibility based deconfounding; and/or wherein the simulator constraint models comprises a real-world physics model.
19. The system of any preceding claims, wherein said at least one XRL agent is configured maximize rewards of the reinforcement learning and the explainability with respect to the environment of reinforcement learning; and/or 
111 wherein said at least one XRL agent, with each action or taken decision, optimizes for environmentally plausible and understandable rewards.
20. The system of any preceding claims, wherein said at least one XRL agent interacts with the environment reversibly or irreversibly, wherein one or more actions or decisions taken during the interaction are dictated by the explanations; and/or wherein said one or more actions or decisions of said at least one XRL agent are deemed reversible or irreversible based on likely range, cost or impact of consequences associated with said one or more actions or decisions; and wherein said one or more actions or decisions comprise a sequential set of actions or decisions; and/or wherein the environment reversibility or irreversibility associated with the impact of consequences provides estimations for refining behavior of said at least one XRL agent, wherein the estimations are provided by an Identify - Assess - Recommend - Resolve (IAR) framework.
21. The system of any preceding claims, further comprising: an explanatory model associated with each of said at least one XRL agent; and/or wherein the explanatory model is used in conjunction with an iterative Monte Carlo Search Tree (MCST) solution for minimizing an error between the predicted policy, predicted value targets and rewards obtained via the explanatory model and the observed policy, observed value targets and expected rewards; and/or wherein the explanatory model comprises a lose function providing plausibility checks to the MCST solution when said at least one XRL agent interacts with the environment based on the 
MCST solution. 
112 
22. The system of claim 21, wherein two or more XRL agents are implemented by the system in multi-agent environments, the explanatory model associated with each of said two or more XRL agents are used for modeling expected behavior of other agents before an action or decision is taken; and/or wherein the explanatory model is used to generalize interactions of said at least one XRL agent with a plurality of environments during meta-1 earning.
23. The system of any preceding claims, wherein said at least one XRL agent is implemented in a distributed manner using a distributed explainable architecture (DEA) comprises one or more explainable models working independently, without a need to rely on a full distributed architecture, to provide the explanations when at least one XRL agent is interacting with the environment during training of the system; and/or wherein said at least one XRL agent is adapted to use the DEA for training on large datasets in parallel across a plurality of environments during the reinforcement learning or during the reinforcement learning, for use with one or more co-operating and/or competing XRL agent; and/or wherein the DEA is used to adapt behavior of said at least one XRL agent in accordance with multiple-objective optimization or multi-agent objective optimization.
24. The system of any preceding claims, wherein said at least one implementation comprises an Explainable Structural Causal Model (XSCM) with a structural function computed using one or more explainable models, wherein the XSCM is configured to provide interpretation, explanatory interpretation, and meta-explanatory interpretation as part of the explanations generated by said at least one XRL agent. 
113 
25. The system of any preceding claims, wherein said at least one implementation comprises an Explanation Structure Model (ESM) comprising: 1) an explainable model; 2) a Statistical Structural Model (SSM) that models statistical relationships; 3) Causal Structural Model (CSM) that models causal relationships; and 4) Symbolic Structural Model (SSM) that models symbolic and logical relationships; and/or wherein the ESM is configured to provide input, output, and process with an optional Explanation Output Template (EOT) to create Machine and Human Readable Explanations as part of the explanations; and/or wherein the ESM comprises anchor components for imposing constraints on the system and/or said at least one XRL agent.
26. The system of any preceding claims, wherein said at least one implementation comprises a Behavioral Model (BM) and/or behavioral model hierarchy (BMH), wherein the BM or BMH assurance and guarantees of behavior for said at least one XRL agent; and/or wherein the behavior is adapted to direct said at least one XRL agent in an environment provides partial observations.
27. The system of any preceding claims, wherein said at least one XRL agent is adapted to implement action and policy rules, and further configured to interact with the environment using input from a combination of a digital-analogue hybrid system, optical system, quantum entangled system, bio-electrical interface, bio-mechanical interface, and system in conditional, IF part of the policy rules, a combination of a Localization Trigger, Answer Context, Explanation Context or Justification Context; and/or wherein the combination further comprises workflow systems, workflows, process flows, process description, state-transition charts, Petri networks, electronic circuits, logic gates, optical circuits, digital-analogue hybrid circuits, bio-mechanical interfaces, bio-electrical interface, quantum circuits or suitable implementation methods.
28. The system of any preceding claims, wherein the system or an explainable model of the system comprises hierarchical partitions for organizing output of the system in relation to the interaction between said at least one XRL agent and the environment, wherein the organized output is aggregated such that each partition represented a rule or a set of rules with respect to a policy of the reinforcement learning; and/or wherein the hierarchical partitions is transformed using a pipeline of transformation comprising: polynomial expansions, rotations, dimensional and dimensionless scaling, Fourier transforms, Walsh functions, state-space and phase-space transforms, Haar and non-Haar wavelets, generalized L2 functions, fractal-based transforms, Hadamard transforms, Type 1 and Type 2 fuzzy logic, knowledge graph networks, categorical encoding, topological transforms of Kolmogorov, Frechet, Hausdorff, Tychonoff spaces, difference analysis and normalization or standardization of data.
29. The system of any preceding claims, wherein said at least one implementation comprises an explainable model and a Human Knowledge Injection (HKI), wherein the HKI is embedded in the explainable model through transfer learning or conversions depending on the compatibility of human knowledge to the system and said at least one XRL agent; and/or wherein the HKI is boot-strapped onto the system, used in relation to the system for refining and/or defining the explanations and an explanatory model of the system, and/or injected directly into the explainable model when the system is engaged in the reinforcement learning; and/or wherein the HKI is fixed in relation to the system rules and policy. 
30. The system of any preceding claims, wherein said at least one XRL agent is initiated or with initial configuration adapted to 1) self-train against a simulation; 2) self-train using interventional actions against the simulation; 3) apply active learning against a live environment; 4) apply active learning using interventional actions against the live environment.
31. The system of any preceding claims, wherein said system with the implemented explainability using said at least one XRL agent and an explainable generative adversarial imitation learning (XGAIL) model as said at least one implementation.
32. The system of any preceding claims, wherein said system one or more applications comprise a telecommunication application to control and optimize mobile networks, energy infrastructure application to optimize a utility power grid distribution operation, robot application to control movements of robot parts, autonomous driving application to control the steering of a vehicle or to provide auditable evidence accounted for algorithmic bias for an accident, an engineering application to control one or more engineering models; and/or wherein said at least one XRL agent is configured to intervene or perform interventional actions in identifying a problem within the system in relation to said one or more applications.
33. The system of any preceding claims, wherein said at least one XRL agent is implemented with a combination of observational and simulated methods to enable implementation of mimic learning.
34. The system of any preceding claims, wherein said at least one implementation utilizes Fast Weights with respect to an explainable model.
35. The system of any preceding claims, wherein the system is implemented as a part of or in combination with a workflow system, Robotic Process Automation (RPA) system, Decision 
116 Support System (DSS), Data Lake system, Explainable Machine Learning System, Interpretable 
Machine Learning System, an Explanation and Interpretation Generation System (EIGS), and Explanation-Filter-Interpretation (EFI) model.
36. The system of any preceding claims, wherein the system is implemented to input, output and process Explanation Structure Models (ESMs) and an optional Explanation Output Template (EOT) in order to create Machine and Human Readable Explanations.
37. The system of any preceding claims, wherein said at least one implementation is configured to provide explainable actions, reward definitions, objective metrics, policy definitions, conditions, constraints, actions, triggers, and events in relation to a combination of abductive, inductive, deductive logic in conjunction with causal logic; and/or wherein the explainable actions, reward definitions, objective metrics, policy definitions, conditions, constraints, actions, triggers, and events are used in relation to said at least one XRL agent.
38. The system of any preceding claims, wherein said at least one implementation is configured to link a neuro-symbolic conditional constraint with a rate of activations in order to constrain the rate of trigger activation with respect to an explainable model; and/or wherein the neuro-symbolic conditional constraint is implemented as symbolic rules or system of symbolic expressions, polynomial expressions, conditional and non-conditional probability distributions, joint probability distributions, state-space and phase-space transforms, integer/real/complex/quatemion/octonion transforms, Fourier transforms, Walsh functions, Haar and non-Haar wavelets, generalized L2 functions, fractal-based transforms, Hadamard transforms, Type 1 and Type 2 fuzzy logics, difference analyses, knowledge graph networks, 
117 data structures that reference different features and variables accessible to the explainable model and any associated taxonomies, ontologies, and causal models.
39. The system of any preceding claims, wherein said at least one XRL agent is configured to act independently or with respect to instructions from a fleet dispatch and control system that modifies decision-making fleet-level policies; and/or wherein said at least one XRL agent is enabled by the instructions from the fleet dispatch and control system to make independent decision and optimizations based on a set of local environments, and/or explanations, global environments, and/or explanations, and a combination thereof.
40. The system of any preceding claims, wherein said at least one XRL agent is configured to output an explanatory Root-Cause- Analysis (RCA).
41. The system of any preceding claims, wherein the explanations comprise scenario-based explanations associated with a what-if, what-if-not, counterfactual, but-for, and conditional scenarios for generating explained strategies and scenario-based explanations in accordance with the actions and decisions of said at least one XRL agent; and/or wherein said at least one XRL agent is trained to learn suggested actions for a given user with a specific context leading to a change in decision outcome and minimizing total cost of actions, wherein the total costs is an amalgamation of one or more costs associated with each variable based on a metric for each type of cost; and/or wherein the scenario-based explanations in relation to use of a nearest-neighbor method, Identify- Assess-Recommend-Resolve (IAR) framework, Multiple Objective Optimization (MOO), Pareto Front Method, Particle Swarm Optimization (PSO), Genetic Algorithms (GA), 
118 Bayesian Optimization, Evolutionary Strategies, Gradient Descent techniques and Monte Carlo Simulation (MCS).
42. The system of any preceding claims, wherein the system is configured to monitor another model in order to detect anomalous behavior, detect instances of data drift and OOD instances, detect abnormal deviations from nominal operational cycles, analyze and assess the behavior of the models under OOD and anomalous instances, variation, deviation, performance and resource usage monitoring, phase-space, and industry-specific monitoring activities.
43. The system of any preceding claims, wherein said at least one implementation comprises a named reference assigned components of the system, wherein the named reference comprises symbolic expressions, formulas, logics for path tracing within the system; and/or wherein the system is configured to use the named reference to generate long-term explanations via dynamical programming.
44. The system of any preceding claims, wherein the system is configured to preserve personal data and information with respect to data privacy using differential, secure multi-party computation, federated, and homomorphic solutions.
45. The system of any preceding claims, wherein the system further comprises a combination of criteria measures based on performance, bias reduction, and risk management of an explainable model, wherein the combination is normalized by a numerical range with respect to the actions of said at least one XRL agent.
46. The system of any preceding claim, wherein the system is implemented based on an Identify, Assess, Recommend, Resolve (IAR) framework, wherein the IAR incorporates a Goal-Plan- 
119 Action (GPA) system for guiding said at least one XRL according to risks associated with the system.
47. The system of any preceding claim, wherein the system is implemented and validated based on one or more of Temporal Logic of Actions, Abstract Machine Notations, Petri Nets, Computation Tree Logics, modal logics, intuitionistic logics, and relational semantics.
48. The system of any preceding claims, wherein the system is configured to apply a knowledge representation structure as a basis for constraining the system and implementing predictive logic, wherein the knowledge representation structure comprises a Resource Description Framework (RDF) tree, RDF graph, graph, hypergraph, simplicial complex, and a knowledge graph structure.
49. The system of any preceding claims, wherein said at least one XRL agent receives data in a sequential manner in relation to a model, wherein the model input comprises 2D data, 3D data, multi-dimensional data arrays, transactional data, time series, digitized samples, sensor data, image data, hyper-spectral data, natural language text, video data, audio data, haptic data, LIDAR data, RADAR data, SONAR data, navigational data, synthetic data, perturbed data, sampled data, transformed data.
50. The system of any preceding claims, wherein the system is configured to use an explainable model that receives a plurality of inputs with each input corresponding to a task associated with an input feature; and wherein the explainable model provides a plurality of outputs with each output corresponding to the task associated with said input.
51. The system of any preceding claims, wherein the system is configured to generate one or more realistic environmental simulations comprise virtual reality simulations, augmented reality 
120 simulations, virtual collaboration spaces, educational spaces, training environments, and metaverses; wherein the generated one or more realistic environmental simulations provide data samples to said at least one XRL agent in relation to the environment for experience learning; and wherein the data samples are processed with at least one secure traceable digital code, distributed ledger entry, or non-fungible token; and/or wherein said one or more realistic environment simulations used to provide boundaries of a physical nature, and/or utilized the system or another model to identify and assess potentially harmful situations with respect to participants of said one or more realistic environmental simulations; wherein said another model is a behavioral model; and/or wherein said one or more realistic environment simulations is implemented together with said at least one XRL agent and a XAED and/or XGAN system.
52. The system of any preceding claims, wherein said at least one processor is part of a hardware circuit associated with flexible architectures, static architectures, an analogue/digital electronics, photo-electronics, optical processing components, neuromorphic architectures, spintronics, memristors, discrete components, quantum computing hardware, and quantization components or hardware-oriented compression components.
53. An explainable reinforcement learning (XRL) model, wherein the model comprises an environment or environment model indicative of the environment, at least one XRL agent for interacting with the environment or the environment model in accordance with a set of policy, wherein said at last one XRL agent in exploring the environment attempts to maximize future reward based on a reward function and/or a value function, wherein the XRL model is implemented as part of a system according to any of claims 1 to 52. 
121 
54. The XRL model of claim 53, wherein said at least one XRL agent selects an action or takes decision in response to receiving an observation in accordance with an output of an explainable model, wherein the explainable model comprises one or more of an XAI, XNN, XTT, XGAN, XAED, XSN, XMN, INN, CNN-XNN, PR-XNN, and DEA.
55. A method for providing an explainable reinforcement learning (XRL) model, wherein the method comprises: receiving a reinforcement learning (RL) model with an RL agent and an environment; introducing explainability to the RL model via a system according to any of claims 1 to 52, wherein the system provides an explainable RL (XRL) agent for interacting with the environment as part of the XRL model; and generating the XRL model in accordance with a set of policy, and based on the set of policy the XRL agent in exploring the environment attempts to maximize future reward based on a reward function and/or a value function with respect to the introduced explainability.
56. A non-transitory computer readable medium comprising instructions which, when executed, cause one or more hardware to implement in accordance with a system any of claims 1 to 52. 
122</t>
  </si>
  <si>
    <t>G06N00308000 | G06N00304000 | G06N00700000</t>
  </si>
  <si>
    <t>I-000225573324</t>
  </si>
  <si>
    <t>30 months from 2020-11-12 (priority date)</t>
  </si>
  <si>
    <t>https://patentscout.innography.com/share/LhT4DJDjn_nBAhXPrZ9QpA%3D%3D</t>
  </si>
  <si>
    <t>https://patentscout.innography.com/share/LhT4DJDjn_nBAhXPrZ9QpA%3D%3D/download</t>
  </si>
  <si>
    <t>https://v3.espacenet.com/publicationDetails/biblio?CC=WO&amp;NR=2022101452A1&amp;KC=A1&amp;FT=D&amp;date=20220519&amp;DB=EPODOC&amp;locale=</t>
  </si>
  <si>
    <t>WO2021197088 A1</t>
  </si>
  <si>
    <t>2.  1.  A system for implementing explainability in reinforcement learning, wherein the system comprises at least one processor configured to execute operations of the reinforcement learning, the system comprising: at least one reinforcement learning (RL) agent for interacting with an environment, wherein said at least one RL agent interacts with the environment by performing one or more actions selected from the action space in response to receiving observations of a state from the state space of the environment; and at least one implementation configured to introduce the explainability as part of said at least one RL agent for providing at least one explainable RL (XRL) agent that explores the environment, wherein said at least one XRL agent is configured to generate explanations and learn from said explanations during exploration; wherein said explanations are incorporated as part of state space and/or action space forming the explainable state and/or the explainable action with respect to said at least one XRL agent, wherein the explanations comprise a combination of agent generated and learnt explanations and environment derived and learnt explanations.</t>
  </si>
  <si>
    <t>2020-11-16</t>
  </si>
  <si>
    <t>2023-05-16</t>
  </si>
  <si>
    <t>An exemplary embodiment provides an autoencoder which is explainable. An exemplary explainable autoencoder may explain the degree to which each feature of the input attributed to the output of the system which may be a compressed data representation. An exemplary embodiment may be used for classification such as anomaly detection as well as other scenarios where an explainable autoencoder is used as input to another machine learning system or when an explainable autoencoder is a component in an end-to-end deep learning architecture. An exemplary embodiment provides an explainable generative adversarial network that adds explainable generation simulation and discrimination capabilities. The underlying architecture of an exemplary embodiment may be based on an explainable or interpretable neural network allowing the underlying architecture to be a fully explainable white-box machine learning system.</t>
  </si>
  <si>
    <t>Method for an explainable autoencoder and an explainable generative adversarial network</t>
  </si>
  <si>
    <t>EP2021081899W</t>
  </si>
  <si>
    <t>1. An explainable artificial neural network, wherein the explainable neural network comprises: one or more explainable autoencoders and/or explainable generative adversarial networks, wherein the one or more explainable autoencoders are coupled to the one or more explainable generative adversarial networks, wherein each explainable autoencoder and/or each explainable generative adversarial network comprises one or more explainable architectures configured to interpret and/or explain the results of the neural network, and wherein each explainable architecture comprises at least one an input layer, output layer, conditional layer, and prediction layer.</t>
  </si>
  <si>
    <t>1. An explainable artificial neural network, wherein the explainable neural network comprises: one or more explainable autoencoders and/or explainable generative adversarial networks, wherein the one or more explainable autoencoders are coupled to the one or more explainable generative adversarial networks, wherein each explainable autoencoder and/or each explainable generative adversarial network comprises one or more explainable architectures configured to interpret and/or explain the results of the neural network, and wherein each explainable architecture comprises at least one an input layer, output layer, conditional layer, and prediction layer.
2. The neural network of claim 1, wherein the explainable autoencoder comprises an explainable encoder and/or an explainable decoder; and/or wherein the explainable encoder and/or the explainable decoder and/or the explainable generative adversarial network are/is an explainable neural network, an interpretable neural network, an explainable transducer transformer, an explainable reinforcement learning model, an explainable artificial intelligence model, an explainable spiking neural network, or explainable memory neural network; and the interpretable neural network comprises multiple neural network layers configured to transform input data.
3. The neural network of claim 2, wherein an input of the explainable autoencoder is a blackbox autoencoder and/or a training data set, wherein the explainable autoencoder is configured to be directly trained from the training data set, and wherein the black-box autoencoder comprises a black-box encoder and a black-box decoder for measuring a reconstruction loss to induce the black-box encoder and the black-box decoder. The neural network of any of any preceding claim, wherein the neural network is configured to transform training data using polynomial expansions, rotations; dimensional and dimensionless scaling, Fourier transforms, Walsh functions, state-space and phase-space transforms, Haar and non-Haar wavelets, generalized L2 functions; fractal-based transforms, Hadamard transforms, Type 1 and Type 2 fuzzy logic, knowledge graph networks, categorical encoding, topological transforms of: Kolmogorov/Frechet/Hausdorff/ Tychonoff spaces, difference analysis, and/ or normalization/standardization/binning/bucketization of data. The neural network of any of any preceding claim, wherein the neural network is configured to implement graph-based methods, wherein the graph based methods comprise: graph- regularized auto-encoder; iterative generative graph modeling method, a Deep Neural Networks for Graph Representation, Structural Deep Network Embedding, and/or spectral autoencoder methods to integrate and interface the explainer autoencoder with explainable machine learning systems that utilize graphs, hypergraphs and/or simplicial complexes. The neural network of any preceding claims, wherein neural network further comprises a white-box explainable model configured to generate training dataset samples for the one or more an explainable autoencoders and/or for one or more explainable generative adversarial networks, wherein the training dataset samples are presented as training to the one or more explainable autoencoders and/or an explainable generative adversarial networks using causal generative adversarial network based generation, simulation using the explainable architecture itself and its hierarchical partition based model, or simulation using explainable generative adversarial imitation learning. The neural network of any preceding claims, wherein the neural network is configured to receive input from a combination of human knowledge injection, and system-knowledge injection. The neural network of any preceding claims, wherein the neural network is configured to encode, decode, model, reproduce and/or generate a data distribution, wherein the distribution is a Normal, Binomial, Bernoulli, Hypergeometric, Beta-Binomial, Discrete Uniform, Poisson, Negative Binomial, Geometric, Lognormal, Beta, Gamma, Uniform, Exponential, Weibull, Double Exponential, Chi-Squared, Cauchy, Fisher-Snedecor, or Student T distributions. The neural network of any preceding claims, wherein the neural network is configured to recognise, classify, and generate data distributions within an Explanation and Interpretation Generation System (EIGS) for providing one or more neural network explanations; and/or wherein the neural network explanations are tailored to a particular application via appropriate Explanation Output Templates (EOTs) and Explanation Structure Models (ESMs). The neural network of any preceding claims, wherein the neural network is configured to generate parameters of a data distribution, wherein the data distribution is a: Normal, 
Binomial, Bernoulli, Hypergeometric, Beta-Binomial, Discrete Uniform, Poisson, Negative Binomial, Geometric, Lognormal, Beta, Gamma, Uniform, Exponential, Weibull, Double Exponential, Chi-Squared, Cauchy, Fisher-Snedecor, or Student T distributions; and the neural network comprises one or more explainable autoencoders configured to induce respective parameters of the data distribution from a black-box variational autoencoder architecture to induce a white box model for the respective parameters of the data distribution. The neural network of any preceding claims, wherein the one or more explainable generative adversarial networks comprise an explainable generator and a black-box discriminator, wherein an input to the one or more explainable generative adversarial networks is a blackbox generator of a black-box generative adversarial network and a training dataset that was used to train the black-box generative adversarial network, and wherein the black-box generator is configured to induce the explainable generator and measure a loss function of the explainable generator, and wherein the black-box discriminator is configured to combine the training dataset with samples generated from the explainable generator and generate a probability to indicate if the samples were retrieved from the training dataset. The neural network of any of claims 1 to 10, wherein the one or more explainable generative adversarial networks comprise a black-box generator and an explainable discriminator, wherein an input of the one or more explainable generative adversarial networks is a black- box discriminator of a black-box generative adversarial network and a training dataset that was used to train the black-box generative adversarial network, and wherein the black-box discriminator is configured to induce the explainable discriminator and measure a loss function of the explainable discriminator, and wherein the explainable discriminator is configured to combine the training dataset with samples generated from the black-box generator and generate a probability to indicate if the samples were retrieved from the training dataset. The neural network of claim 12, wherein the explainable discriminator is configured to generate explanations of partitions and feature attributions of input dimensions, and further configured to detect and explain one or more criteria based on performance, bias, causal effects and risk on output generated from the a black-box generator, wherein the black-box generator is configured to receive a feedback input comprising the detected performance explanations, bias features, causal features, risk features, feature attributions and partition related explanations for tuning and constructing more realistic samples. The neural network of any of claims 1 to 10, wherein the one or more explainable generative adversarial networks comprise an explainable generator and an explainable discriminator, wherein an input of the one or more explainable generative adversarial networks is a blackbox discriminator of a black-box generative adversarial network model, a black-box generator of the generative adversarial network, and a training dataset that was used to train the black-box generative adversarial network, and wherein the black-box discriminator is configured to induce the explainable discriminator and measure a loss function of the explainable discriminator, and wherein the black-box generator is configured to induce the explainable generator and measure a loss function of the explainable generator, and wherein the explainable discriminator is configured combine the training dataset with samples generated from the explainable generator and generate a probability to indicate if the samples were retrieved from the training dataset. The neural network of claim 14, wherein the explainable generator is configured to generate explanations of partitions and feature attributions of input dimensions, and further configured detect and explain one or more criteria based on performance, bias, causal effects and risk on output generated from the explainable generator, wherein the explainable generator is configured to receive a feedback input comprising the detected performance explanations, bias features, causal features, risk features, feature attributions and partition related explanations to tune and construct more realistic samples. The neural network of any of claims 11 to 15, wherein the one or more explainable generative adversarial networks are configured to construct explanation scaffolding from an output produced by the explainable architecture of the generator and/or discriminator for illustrating such results to an interpreter for assisting in understanding how one or more explainable generative adversarial networks arrived at such prediction, wherein the interpreter is an end-user or a component within the one or more explainable autoencoders and/or explainable generative adversarial networks. The neural network of any preceding claims, wherein the neural network is configured to generate multiple types of explanations, wherein the explanations comprise: partitioning information, internal coefficients of the model, and feature attributions of an input dataset, and wherein the components of the one or more explainable architectures are configured to receive the explanations as input for providing feedback information. The neural network of any preceding claims, wherein the neural network is configured to implement a hierarchical partition structure with dynamic splitting and merging. The neural network of any preceding claims, wherein the neural network is configured to provide a model interpretation for underlying components of the one or more explainable generative adversarial networks, wherein the model interpretation comprise a basic interpretation, an explanatory interpretation, and/or a meta-explanatory interpretation. The neural network of any preceding claims, wherein the one or more explainable generative adversarial networks is configured to receive comprise a noise variable as input, wherein the one or more explainable generative adversarial networks are configured to use the noise variable to sample from a desired distribution; and the one or more explainable generative adversarial networks is configured to receive additional variables as inputs, wherein the additional variables are one of: a one-hot vector of the class labels, a causal controller vector, or a bottleneck layer of an autoencoder architecture. The neural network of any preceding claims, wherein an output of the neural network is at least one explainable autoencoder model constructed of one or more of an explainable encoder and explainable decoder. The neural network of any preceding claims, wherein the neural network comprises partitions, wherein each partition defines zero, one, or more rules that are extracted using linear fits and/or by applying non-linear transformations, wherein the non-linear transformations comprise: polynomial expansion, Fourier transforms, continuous data bucketization, Walsh functions, state-space and phase-space transforms, Haar and non-Haar wavelets, generalized L2 functions, fractal-based transforms, Hadamard transforms, Type 1 and Type 2 fuzzy logic, knowledge graph networks, categorical encoding, topological transforms of Kolmogorov/Frechet/Hausdorff/Tychonoff spaces, difference analysis and/or normalization/standardization; and the non-linear transformations are applied after applying linear fits to preserve explainability. The neural network of claim 22, wherein partitions extracted from the o neural network incorporate overlapping and non-overlapping partitions, wherein a priority function is used to determine which partition to activate for overlapping partitions. The neural network of claim 22 or 23, wherein the partitions are adapted to be merged according to a suitable partition merge condition; or a partition is adapted to be split into two or more partitions according to a suitable partition split condition. The neural network according to any of claims 22 to 24, wherein the partitions comprise information regarding: observed and expected data distributions for data falling within the respective partition or set of partitions, meta-data, constraints on subsets or an entire set of the respective partition data, relationship data linking: subsets, an entire set of the respective partition data to other subsets, or the entire set of one or more partitions within the linear model and/or other models in the case of multiple model fusion. The neural network of any of claims 22 to 25, wherein the partitions are computed dynamically within the neural network. The neural network of any of claims 22 to 25, wherein the partitions are constructed externally with at least one induction process that is external to the neural network, wherein the induction process is configured to model hierarchical partitions using mathematical transformations comprising: polynomial expansion, or causal mappings, or using a pipeline of transformations comprising: polynomial expansions, rotations, dimensional and dimensionless scaling, Fourier transforms, Walsh functions, state-space and phase-space transforms, Haar and non-Haar wavelets, generalized L2 functions, fractal-based transforms, Hadamard transforms, Type 1 and Type 2 fuzzy logic, knowledge graph networks, categorical encoding, topological transforms of Kolmogorov/Frechet/Hausdorff/Tychonoff spaces, difference analysis and normalization/standardization of data, and/or transforms that analyze sequences of data that are ordered according to the value of one or more variables, including temporally ordered data sequences. 
28. The neural network of any preceding claims, wherein explanations of an input space and a latent space of the neural network, respectively, identify any potential bias, risk, cause-and- effect or to get insights on the most prominent features which are useful for compressing the input variables to a derived latent space, and describe the prominent features that are affecting the reconstruction loss from the latent space; and explanations include anomaly detection, bias detection, risk detection, and cause-and-effect detection for latent space compression
29. The neural network of any preceding claim, wherein the neural network is configured to provide local explainability, and/or global explainability; and the neural network is configured to construct explanations for all features based on a reconstruction loss
30. A neural network of any preceding claims, wherein the neural network forms inputs to a supervised explainable neural network classifier, wherein the neural network is configured to use a Backmap process to trace feature attributions of the supervised explainable neural network classifier back to an input layer of the neural network
31. The neural network of any preceding claims, wherein the system is configured to receive injection of human defined knowledge, wherein the human defined knowledge expressed as a knowledge graph comprising nodes that describe human defined entities, and edges that describe the relationship between nodes; and each node in the knowledge graph comprises one or more taxonomy identifiers that contribute to the classification of the knowledge in the knowledge graph, wherein the knowledge graph comprises multiple taxonomies; and one or more taxonomy identifiers are configured to fuse multiple knowledge graphs together
32. The neural network of any preceding claims, wherein said one or more explainable architectures are configured to calculate structural equations of an explainable structural causal model, and wherein the explainable structural causal model is configured to output the following types of model interpretation: basic interpretation, explanatory interpretation, and/or meta-explanatory interpretation
33. The neural network of any preceding claims, wherein the neural network further comprises an Explanation Structure Model (ESM) comprising: an explainable model, a Statistical Structural Model for modelling statistical relationships, a Causal Structural Model for modelling causal relationships, and a Symbolic Structural Model for modelling symbolic and logical relationships; or the neural network is configured to be used to input, output and process Explanation Structure Models together with an optional Explanation Output Template (EOT) to create Machine and Human Readable Explanations for use in different applications, including EIGS-like applications
34. The neural network of any preceding claims, wherein the neural network is incorporated in a Behavioral Model framework or a behavioral model hierarchy, wherein a combination of the neural network and Behavioral Model framework is configured to provide further assurance and guarantees of behavior that add to the trustworthiness and auditability of the neural network, and configured to provide a practical solution for the neural network in the face of environments that provide partial observations; or the neural network is integrated with a combination of an Explainable Machine Learning System, Interpretable Machine Learning System, Explainer, Filter, Interpreter, Explanation Scaffolding, and Interpretation Scaffolding within the context of an Explanation and Interpretation Generation System (EIGS) and/or the Explanation-Filter-Interpretation (EFI) model
35. The neural network of any preceding claims, wherein the one or more explainable autoencoders comprises an encoder-decoder Recurrent Neural Network architecture, wherein the Recurrent Neural Network architecture is a feed forward neural network rolled out over time that is configured to use sequence data, and wherein the sequence data comprise a plurality of data points that contain feature data in various sequential formats comprising: 2D data, 3D data, multi-dimensional data arrays, transactional data, time series, digitized samples, sensor data, image data, hyper-spectral data, natural language text, video data, audio data, haptic data, LIDAR data, RADAR data, and/or SONAR data, and wherein data points comprise one or more associated labels for indicating the output value or classification for a specific data point or a continuous or non-continuous interval of data points, and wherein data point sequences result from an internal and/or external process that output a combination of synthetic data points, perturbed data, sampled data, or transformed data; and/or wherein the Recurrent Neural Network architecture comprises one or more hidden states, input vector, weights, and output at each hidden layer
36. The neural network of any preceding claims, wherein the one or more explainable generative adversarial networks is a conditional explainable generative adversarial network, wherein the conditional explainable generative adversarial network is configured to utilise a class selection input parameter to an explainable generative adversarial network to enable it to generate explainable output corresponding to multiple output classes
37. An Explainable Generative Adversarial Imitation Learning (XGAIL) model comprising the neural network according to claim 1, wherein the neural network is an explainable generative adversarial network, and wherein the explainable generative adversarial network comprises an explainable discriminator, wherein the explainable discriminator is configured to take as input a simulator model and an agent environment, and wherein the explainable discriminator is configured to provide feedback to a generator
38. The XGAIL model of claim 37, wherein the generator comprises an explainable simulator model, and a driver function configured to drive the explainable simulator model, wherein: the driver function is a differentiable function when the explainable simulator model is a neural network or gradient-descent based model; or the driver function is differentiable or non-differentiable when the explainable simulator model is a symbolic model .
39. The XGAIL model of claim 37, wherein the generator comprises a non-explainable simulator model, and a driver function configured to drive the non-explainable simulator model, wherein: the driver function is a differentiable function when the non-explainable simulator model is a neural network or gradient-descent based model; or the driver function is differentiable or non-differentiable when the non-explainable simulator model is a symbolic model. 
40. The neural network of any preceding claims, wherein the neural network is configured to be implemented using FPGAs; or ASICs; or discrete components; or neuromorphic hardware; or neuromorphic hardware that employ spiking neurons; or spintronics or memristors; or quantum processing system, wherein the neural network further comprises one or more quantum specific functions or extensions comprising: Bernstein-Vazirani, Simon’s algorithm, Deutsch-Jozsa algorithm, Shor’s algorithm, Quantum Phase estimation algorithm, Grover’s algorithm, Quantum Counting, Quantum Hamiltonian NAND trees, the HHL algorithm, QAOA algorithm, VQE eingensolver, CQE eingensolver, and/or quantum matrix inversion
41. The neural network of any preceding claims, wherein the neural network is incorporated within a workflow system that is configured to read from the neural network and write back to the neural network processing and event data, and wherein neural network is further incorporated within a Robotic Process Automation system, Decision Support System, or a Data Lake system .
42. The neural network of any of preceding claim, wherein the neural network is configured to do constant monitoring of explainable models to detect anomalous behavior, detect instances of data drift and out-of-distribution instances, detect abnormal deviations from nominal operational cycles, analyze and assess the behavior of explainable models under OOD and anomalous instances, variation, deviation, performance and resource usage monitoring, phase-space, and other related monitoring activities. 
43. The neural network of any preceding claims, wherein the one or more explainable autoencoders of the system is configured to provide feedback to an explainable generative adversarial network of the system with an Explainable Generative Adversarial Imitation Learning model to create experience replay type of learning and simulation examples to the system
44. The neural network of any preceding claims, wherein the neural network actions, objective metrics, conditions, constraints, triggers, and events are adapted to utilize a combination of abductive, inductive, deductive logic in conjunction with causal logic .
45. The neural network of any preceding claims, wherein the neural network is configured to link a neuro-symbolic conditional constraint with previous historic rate of activations for constraining the rate of trigger activation, wherein the neuro-symbolic constraint is implemented in the form of symbolic rules or system of symbolic expressions, polynomial expressions, conditional and non-conditional probability distributions, joint probability distributions, state-space and phase-space transforms, integer / real / complex / quaternion / octonion transforms, Fourier transforms, Walsh functions, Haar and non-Haar wavelets, generalized L2 functions, fractal-based transforms, Hadamard transforms, Type 1 and Type 2 fuzzy logic, difference analysis, data structure that references features and variables accessible to the one or more explainable architectures and any associated taxonomies, ontologies, and causal models, and/or knowledge graph networks. 
46. The neural network of any preceding claims, wherein components within the neural network comprise a named reference label, wherein each named reference label is descriptive in nature and comprises additional meta-data and links to external taxonomies, ontologies, and models, and wherein the named reference label further comprises symbolic expressions and/or formulas of the form of: Conjunctive Normal Form rules Boolean logic, first order logic, second order logic, propositional logic, predicate logic, modal logic, probabilistic logic, many-valued logic, fuzzy logic, intuitionistic logic, non-monotonic logic, non-reflexive logic, quantum logic, paraconsistent logic or other suitable type of logical system or similar statements for providing an explanation of a set or sequence of decisions that resulted in the execution of a current component in the neural network; and the neural network is configured to utilize a invariance of the named reference labels under dynamical processes to generate stable, long-term explanations of the dynamics occurring within an explainable model without the need to recode knowledge or retrain explanatory methods with each run of the dynamical process .
47. The neural network of any preceding claims, wherein the neural network is configured to utilise rules representing encoding and decoding relations within the neural network for encoding and decoding information and for generating and discriminating between samples, wherein the format of the rules is a system of Disjunctive Normal Form rules or other logical alternatives comprising: Conjunctive Normal Form rules, Boolean logic, first order logic, second order logic, propositional logic, predicate logic, modal logic, probabilistic logic, many-valued logic, fuzzy logic, intuitionistic logic, non-monotonic logic, non-reflexive logic, quantum logic, or paraconsistent logic for the expression of logical or similar statements. 
48. The neural network of any preceding claims, wherein the one or more explainable architectures are distributed explainable architectures, wherein the distributed explainable architectures each comprise multiple explainable architectures that are arranged to be processed in parallel; and each distributed explainable architecture is configured to split a dataset into multiple subsets of data for training the multiple explainable architectures
49. The neural network of claim 48, wherein the distributed explainable architecture comprise hybrid models comprising a mixture of: explainable artificial intelligence model, an explainable neural network, an explainable transducer transformer, an explainable reinforcement learning model, an explainable spiking neural network, explainable memory network, and/or an interpretable neural network, such that one data part is configured to implement one model, while another data part of the same distributed explainable architecture system is configured to implement another model; and models are combined to form an aggregate model .
50. The neural network of claim 48 or 49, wherein the distributed explainable architecture incorporates multiple independent models where one model, once trained, is configured work independently without the need to rely on the entire distributed explainable architecture, wherein the distributed explainable architecture is optimized primarily for training purposes; and the models in a distributed explainable architecture are variants of the explainable architectures. 
51. The neural network of any preceding claims, wherein the neural network is configured to use a suitable computational and knowledge representation structure as the basis of its constraint and predictive logic implementation, wherein the suitable structure is a Resource Description Framework (RDF) tree, RDF graph, a hypergraph structure, or a simplicial complex
52. The neural network of any preceding claims, wherein the neural network is configured to implement an audit log functionality for the creation of decision logs and path traces illustrating the flow, interactions, and behaviour of the neural network and its conditions, events, triggers and actions, and overall dynamics
53. The neural network of any preceding claims, wherein the neural network is configured to utilize its own audit system log that is stored in a system of record, distributed ledger technology (DLT), or a database in a tamper-proof and traceable manner, wherein the audit system can log is stored in an independent system that is separate from the associated explainable model, or share the same audit system used by its associated explainable model .
54. The neural network of any preceding claims, wherein the neural network is configured to be implemented and verified by on a combination of systems based on one or more of Temporal Logic of Actions, Abstract Machine Notation, Petri Nets, and Computation Tree Logic implementation methods that can formally represent modal logics, intuitionistic logics, and/or relational semantics comprising Kripke semantics and/or Alexandrov topologies. 
55. The neural network of any preceding claims, wherein the neural network is configured to utilize anchor components, wherein the anchor components represent mandatory constraints indicating the importance of nodes, edges, events, triggers, constraints, and actions in the neural network
56. The neural network of any preceding claims, wherein the neural network is configured to apply a combination of quantization and pruning methods to increase performance and reduce the implementation size and/or resource usage of the neural network; and various instability reduction techniques are adapted to be applied to the neural network for counteracting any detrimental effects of quantization and/or pruning on the neural network during processing
57. The neural network of any preceding claims, wherein the neural network is configured to be used as the basis or part of a practical data privacy preserving AI system implementation, wherein primary data privacy preserving solutions for AI is classified under four categories: differential privacy, secure multi-party computation, federated learning, and homomorphic encryption
58. The neural network of any preceding claims, wherein the neural network is configured to utilize generated structured explanations based on what-if, what-if-not, counterfactual, but- for, and conditional scenarios for generating explained strategies and scenario-based explanations that correspond to the outcome of applying such scenarios to the network input, wherein one or more hypothetical target outcomes are adapted to be selected as part of the scenario modelling, wherein in such scenario-based explanation generation the neural network is configured to associate constraints with the scenario being examined, objective costs with the feature difficulty/attainability/severity, and associate actions as output targets with domain specific and scenario-specific actions .
59. The neural network of claim 58, wherein the neural network is further configured to be trained to learn the suggested actions for a given user with a specific context which lead to a change in outcome while minimizing the total cost of actions, wherein the suggested actions comprise a sequence that leads to a desired goal, and wherein the neural network is configured to utilize a nearest-neighbor method for providing actual examples of applications that have had the desired scenario outcome or a hypothetical average of such an application, wherein such nearest-neighbor methods are configured to take advantage of partition hierarchy structures within the neural network for generating examples from the same partition, or from a nearby partition or from a partition that is further away from a current partition, and wherein the neural network is further configured to rank and prioritize possible changes in variables and present to the user or to an automated process in the form of an Identify-Ass *** truncated to 32500 characters ***</t>
  </si>
  <si>
    <t>G06N0003045400</t>
  </si>
  <si>
    <t>G06N0003045400 | G06N0003047200 | G06N0003080000 | G06N0005022000 | G06N0005045000</t>
  </si>
  <si>
    <t>G06N00304000</t>
  </si>
  <si>
    <t>G06N00304000 | G06N00308000 | G06N00502000 | G06N00504000</t>
  </si>
  <si>
    <t>US20220172050A1|WO2022101515A1</t>
  </si>
  <si>
    <t>US20220172050 A1 | WO2022101515 A1</t>
  </si>
  <si>
    <t>I-000225573387</t>
  </si>
  <si>
    <t>30 months from 2020-11-16 (priority date)</t>
  </si>
  <si>
    <t>https://patentscout.innography.com/share/hasrTp_P-0tAs76DptQeeQ%3D%3D</t>
  </si>
  <si>
    <t>https://patentscout.innography.com/share/hasrTp_P-0tAs76DptQeeQ%3D%3D/download</t>
  </si>
  <si>
    <t>https://v3.espacenet.com/publicationDetails/biblio?CC=WO&amp;NR=2022101515A1&amp;KC=A1&amp;FT=D&amp;date=20220519&amp;DB=EPODOC&amp;locale=</t>
  </si>
  <si>
    <t>WO2022188202 A1</t>
  </si>
  <si>
    <t>US20220172050 A1</t>
  </si>
  <si>
    <t>2.  1.  An explainable artificial neural network, wherein the explainable neural network comprises: one or more explainable autoencoders and/or explainable generative adversarial networks, wherein the one or more explainable autoencoders are coupled to the one or more explainable generative adversarial networks, wherein each explainable autoencoder and/or each explainable generative adversarial network comprises one or more explainable architectures configured to interpret and/or explain the results of the neural network, and wherein each explainable architecture comprises at least one an input layer, output layer, conditional layer, and prediction layer.</t>
  </si>
  <si>
    <t>KR100860050 B1 | KR101466613 B1 | KR101475904 B1</t>
  </si>
  <si>
    <t>2022-05-06</t>
  </si>
  <si>
    <t>2042-05-06</t>
  </si>
  <si>
    <t>The present invention includes a wireless communication system (Wireless backhaul) built in each headquarters when transmitting/receiving data generated in a private network configured in each headquarters in different remote areas in the same company between headquarters By applying and operating data generated from each headquarters in a wireless way through a dedicated network to a remote transmission/reception system there are fewer affected factors compared to wired and it is easily recoverable can be constructed at relatively low cost and has high transmission and reception. It relates to a wireless communication data transmission/reception system using an eco-friendly backhaul as there is no cable which can transmit and receive data with high quality and is simple to install move expand and recover from defects. A plurality of headquarters (10 11) in different remote areas each having a private wireless communication system including a safety wireless communication network; and the Long Term Evolution (LTE)-based national disaster safety wireless communication network each of the remote headquarters according to the distance between the plurality of headquarters 10 and 11 in different remote areas each equipped with a private wireless communication system. Wireless backhaul devices (20 21) installed in each of a plurality of headquarters (10 11) in different remote areas to support data transmission and reception without distortion of quality even during wireless communication data transmission/reception for A wireless communication data transmission/reception system using a backhaul is provided.</t>
  </si>
  <si>
    <t>Wireless communication data transmission/reception system using backhaul</t>
  </si>
  <si>
    <t>Il Shin Everyday Innovation Co., Ltd.</t>
  </si>
  <si>
    <t>Everyday Innovations Inc.</t>
  </si>
  <si>
    <t>KR20220055996A</t>
  </si>
  <si>
    <t>A plurality of headquarters (10, 11) in different remote areas each having a private wireless communication system including a national disaster safety wireless communication network based on LTE (Long Term Evolution); and the Long Term Evolution (LTE)-based national disaster safety wireless communication network, each of the remote headquarters according to the distance between the plurality of headquarters 10 and 11 in different remote areas each equipped with a private wireless communication system. Wireless backhaul devices (20, 21) installed in each of a plurality of headquarters (10, 11) in different remote areas to support data transmission and reception without distortion of quality even during wireless communication data transmission/reception for A wireless communication data transmission/reception system using backhaul.</t>
  </si>
  <si>
    <t>1) in different remote areas each having a private wireless communication system including a national disaster safety wireless communication network based on LTE (Long Term Evolution); and the Long Term Evolution (LTE)-based national disaster safety wireless communication network, each of the remote headquarters according to the distance between the plurality of headquarters 10 and 11 in different remote areas each equipped with a private wireless communication system. Wireless backhaul devices (20, 21) installed in each of a plurality of headquarters (10, 11) in different remote areas to support data transmission and reception without distortion of quality even during wireless communication data transmission/reception for A wireless communication data transmission/reception system using backhaul.
The wireless communication data using backhaul according to claim 1, wherein the wireless backhaul device (20, 21) uses a radio frequency of the V band of the 57-66 GHz band or the E-band of the 71-76 GHz and 81-86 GHz bands. transceiver system.
The method of claim 1, wherein the LTE (Long Term Evolution)-based private wireless communication system including the national disaster safety wireless communication network communicates with the other party through IP phones (101, 102, 103, 104), , IPBAX (100) that supports calls between the IP phones (101, 102, 103, 104) and the wireless communication terminals of a plurality of workers connected to an integrated antenna for transmitting and receiving frequencies in the frequency band of a plurality of high-speed wireless communication systems And, as a national disaster safety wireless communication network based on LTE (Long Term Evolution), SIP (Session Initiation Protocol) is built-in, so that the page phone main device IPBAX 100 and the IP phone 101, 102, 103, 104 are PS-LTE (Public Safety LTE) 200 that supports communication by SIP and,
A base station 300 for transmitting and receiving with the PS-LTE 200 by processing a downlink frequency of 773 to 783 MHz and an uplink frequency of 718 to 728 MHz, and an LTE band (700 MHz) as the base station 300, and 5G (5G) It serves the frequency of the band (3.5 GHz) and the public network frequency including SKT, KT, and LGU+. Combines the LTE band (700 MHz) and the 5G (3.5 GHz) band frequency and the WiFi band frequency to communicate with the high-power combiner 400 and the high-power combiner 400, and the LTE band (700 MHz) and , AP built-in frequency combiner (Wi-Fi combiner) 500 for combining the frequency of the 5G (3.5 GHz) band and the frequency of the WiFi band;
an integrated control room 600 that periodically receives the status of the frequency coupler 500 and checks or replaces the status of the frequency coupler 500 through an administrator when an abnormality occurs; And a plurality of dividers (710, 720, 730) for distributing frequencies transmitted and received between the plurality of integrated antennas (810, 820, 830, 840) and the frequency combiner 500 supporting communication with terminals capable of wireless communication ); A wireless communication data transmission/reception system using a backhaul, characterized in that it is configured to include.
According to claim 3, wherein the wireless communication data transmission and reception system using the backhaul, in connection with the integrated control room (600) for each region, expansion of comprehensive management data necessary for company operation, remote management and production by remote control of safety facilities Wireless communication data transmission/reception system using a backhaul, characterized in that it further includes an integrated control server 610 that supports facility and product production process quality image management, metaverse network service, safety facility management, operation and education of ultra-high-level production facilities .</t>
  </si>
  <si>
    <t>Ahn, Hyuk Tae|Jegal, Jong Tae|Kim, Sung Jin</t>
  </si>
  <si>
    <t>H04W0004300000</t>
  </si>
  <si>
    <t>H04W0004300000 | H04W0004900000 | H04W0080100000 | H04W0084042000 | H04W0088085000 | H04W0088180000 | H04W0092200000</t>
  </si>
  <si>
    <t>H04W00430000</t>
  </si>
  <si>
    <t>H04W00430000 | H04W00490000 | H04W08010000 | H04W08404000 | H04W08808000 | H04W08818000 | H04W09220000</t>
  </si>
  <si>
    <t>KR20220066866A</t>
  </si>
  <si>
    <t>KR20220066866 A</t>
  </si>
  <si>
    <t>I-000226189225</t>
  </si>
  <si>
    <t>20 years from 2022-05-06 (file date)</t>
  </si>
  <si>
    <t>https://patentscout.innography.com/share/fIVfo5IAI9Nq_4CxV-8uVg%3D%3D</t>
  </si>
  <si>
    <t>2022-07-07-NOTIFICATION OF REASON FOR REFUSAL|2022-11-09-NOTIFICATION OF REASON FOR FINAL REFUSAL</t>
  </si>
  <si>
    <t>https://patentscout.innography.com/share/fIVfo5IAI9Nq_4CxV-8uVg%3D%3D/download</t>
  </si>
  <si>
    <t>https://v3.espacenet.com/publicationDetails/biblio?CC=KR&amp;NR=20220066866A&amp;KC=A&amp;FT=D&amp;date=20220524&amp;DB=EPODOC&amp;locale=</t>
  </si>
  <si>
    <t>1.  A plurality of headquarters (10 , 11 ) in different remote areas each having a private wireless communication system including a national disaster safety wireless communication network based on LTE (Long Term Evolution); and the Long Term Evolution (LTE)-based national disaster safety wireless communication network, each of the remote headquarters according to the distance between the plurality of headquarters 10 and 11 in different remote areas each equipped with a private wireless communication system. Wireless backhaul devices (20 , 21 ) installed in each of a plurality of headquarters (10 , 11 ) in different remote areas to support data transmission and reception without distortion of quality even during wireless communication data transmission/reception for A wireless communication data transmission/reception system using backhaul.</t>
  </si>
  <si>
    <t>KR102351002 B1 | KR20130102873 A | KR20150028474 A | KR20150079768 A</t>
  </si>
  <si>
    <t>A three-dimensional modeling optimization processing system according to the present invention comprises: a three-dimensional image generating module for generating a three-dimensional image from an object image; a detection module for detecting an outline and a surface surrounded by the outline from the 3D image; a region dividing module for generating a plurality of regions by dividing the surface; a color recognition module for recognizing a color of the divided region; and an optimization performing module including a group setting unit for setting a group including at least one of the regions and a correction performing unit for collectively correcting the colors of the group.</t>
  </si>
  <si>
    <t>3d color modeling optimization processing system</t>
  </si>
  <si>
    <t>KR20220034815A</t>
  </si>
  <si>
    <t>A color optimization processing system for three-dimensional modeling, comprising: a three-dimensional image generation module for generating a three-dimensional image that is a three-dimensional object displayed in a metaverse space including a virtual light source from an object image;a detection module for detecting an outline and a surface surrounded by the outline from the 3D image;a region dividing module for generating a plurality of regions by dividing the surface;a color recognition module comprising: a color recognition unit recognizing a hue-saturation-brightness (HSB) value of the divided area; and an error degree determination unit calculating a color error degree by comparing and processing HSB values of the area and surrounding areas;a group setting unit for setting a group including at least one region according to the high and low levels of the color error degree; an average color calculation unit for calculating an average HSB value of regions included in the group; A correction color calculating unit for correcting the B (Brightness) value included in the average HSB value, and a correction performing unit for collectively correcting the colors of the regions included in the group with the average HSB value including the corrected B value. and an optimization performing module, wherein the corrected value of B is calculated according to Equation 1 below. Equation 1, (here,is the corrected B value,is the B (Brightness) value of the k-th area included in the group., n is the number of regions, B(s) is the brightness of the light source (lx), B(c) is the reference brightness (lx))</t>
  </si>
  <si>
    <t>A color optimization processing system for three-dimensional modeling, comprising: a three-dimensional image generation module for generating a three-dimensional image that is a three-dimensional object displayed in a metaverse space including a virtual light source from an object image;a detection module for detecting an outline and a surface surrounded by the outline from the 3D image;a region dividing module for generating a plurality of regions by dividing the surface;a color recognition module comprising: a color recognition unit recognizing a hue-saturation-brightness (HSB) value of the divided area; and an error degree determination unit calculating a color error degree by comparing and processing HSB values of the area and surrounding areas;a group setting unit for setting a group including at least one region according to the high and low levels of the color error degree; an average color calculation unit for calculating an average HSB value of regions included in the group; A correction color calculating unit for correcting the B (Brightness) value included in the average HSB value, and a correction performing unit for collectively correcting the colors of the regions included in the group with the average HSB value including the corrected B value. and an optimization performing module, wherein the corrected value of B is calculated according to Equation 1 below. Equation 1, (here,is the corrected B value,is the B (Brightness) value of the k-th area included in the group., n is the number of regions, B(s) is the brightness of the light source (lx), B(c) is the reference brightness (lx))
The method of claim 1, wherein the detection module comprises an edge detection unit detecting an edge from the three-dimensional image and obtaining an outline from the detected edge, and a surface detection unit detecting a surface surrounded by the detected outline. Characterized by the color optimization processing system of 3D modeling.
delete
delete
delete
delete
delete
delete</t>
  </si>
  <si>
    <t>G06T01720000 | G06T00500000 | G06T00711000 | G06T00713000 | G06T00790000</t>
  </si>
  <si>
    <t>KR102402643B1</t>
  </si>
  <si>
    <t>KR102402643 B1</t>
  </si>
  <si>
    <t>I-000226195116</t>
  </si>
  <si>
    <t>https://patentscout.innography.com/share/Xds281cbneURAuIme2dR-g%3D%3D</t>
  </si>
  <si>
    <t>2022-03-30-REQUEST FOR ACCELERATED EXAMINATION|2022-05-10-NOTIFICATION OF REASON FOR REFUSAL|2022-05-20-DECISION TO GRANT OR REGISTRATION OF PATENT RIGHT|2022-05-23-WRITTEN DECISION TO GRANT</t>
  </si>
  <si>
    <t>https://patentscout.innography.com/share/Xds281cbneURAuIme2dR-g%3D%3D/download</t>
  </si>
  <si>
    <t>https://v3.espacenet.com/publicationDetails/biblio?CC=KR&amp;NR=102402643B1&amp;KC=B1&amp;FT=D&amp;date=20220526&amp;DB=EPODOC&amp;locale=</t>
  </si>
  <si>
    <t>KR20102402643 B1</t>
  </si>
  <si>
    <t>1.  A color optimization processing system for three-dimensional modeling, comprising: a three-dimensional image generation module for generating a three-dimensional image that is a three-dimensional object displayed in a metaverse space including a virtual light source from an object image;a detection module for detecting an outline and a surface surrounded by the outline from the 3D image;a region dividing module for generating a plurality of regions by dividing the surface;a color recognition module comprising: a color recognition unit recognizing a hue-saturation-brightness (HSB) value of the divided area; and an error degree determination unit calculating a color error degree by comparing and processing HSB values of the area and surrounding areas;a group setting unit for setting a group including at least one region according to the high and low levels of the color error degree; an average color calculation unit for calculating an average HSB value of regions included in the group; A correction color calculating unit for correcting the B (Brightness) value included in the average HSB value, and a correction performing unit for collectively correcting the colors of the regions included in the group with the average HSB value including the corrected B value. and an optimization performing module, wherein the corrected value of B is calculated according to Equation 1 below. Equation 1 , (here,is the corrected B value,is the B (Brightness) value of the k-th area included in the group., n is the number of regions, B(s) is the brightness of the light source (lx), B(c) is the reference brightness (lx))</t>
  </si>
  <si>
    <t>2042-04-20</t>
  </si>
  <si>
    <t>The invention relates to vehicle field specifically relates to a method for operating adaptive cruise system the method comprises the following steps: S1 obtaining the following request of the vehicle; S2 establishing the connection between the vehicle and the universe background system; S3 matching the heeled vehicle in the universe background system; S4 confirming the permission of the following vehicle for the following request; S5 starting the self-adaptive cruise system. The method of the present invention may further comprise the following steps: S6 outputting prompt message the vehicle and/or the following vehicle before the self-adaptive cruise is finished; S7 interrupting the connection between the vehicle and the universe background system and stopping using the self-adaptive cruise system. In addition the invention further relates to a controller and a computer program product. The surrounding environment of the vehicle is mapped to the virtual background system by the meta-space technology. By matching the following vehicle in the metaverse background system and using the existing adaptive cruise system to realize a particularly efficient and reliable system operation and avoid privacy problems.</t>
  </si>
  <si>
    <t>Method, controller and program product for operating an adaptive cruise system</t>
  </si>
  <si>
    <t>Meisades-benz Group Share Company</t>
  </si>
  <si>
    <t>MEISADES-BENZ GROUP SHARE COMPANY</t>
  </si>
  <si>
    <t>CN202210417274A</t>
  </si>
  <si>
    <t>1. A method for running adaptive cruise system, the method comprises the following steps: S1 obtaining the following request of the vehicle; S2, establishing the connection between the vehicle and the universe background system; S3, matching the heeled vehicle in the universe background system; S4, confirming the permission of the following vehicle for the following request; S5, starting the self-adaptive cruise system.</t>
  </si>
  <si>
    <t>1. A method for running adaptive cruise system, the method comprises the following steps: S1 obtaining the following request of the vehicle; S2, establishing the connection between the vehicle and the universe background system; S3, matching the heeled vehicle in the universe background system; S4, confirming the permission of the following vehicle for the following request; S5, starting the self-adaptive cruise system.2. The method for operating the adaptive cruise system according to claim 1, wherein the unique digital vehicle identity is respectively to other vehicles in the surroundings of the vehicle and the vehicle by means of the universe background system.3. The method for running adaptive cruise system according to claim 1 or 2, wherein, in the step S2, the vehicle and the surrounding environment are correspondingly mapped to the universe background system, wherein The planned running track of the vehicle and the planned driving track of other vehicles in the surrounding environment are mapped to the universe background system.4. The method for operating the adaptive cruise system according to claim 3, wherein in step S3, the vehicle is automatically matched with the vehicle according to the overlap ratio of the planned driving track of the vehicle and the planned driving track of other vehicles and/or the digital vehicle identity of the vehicle and the other vehicles.5. The method for operating the adaptive cruise system according to one of claim 2 to 4, wherein in the step S4, the following vehicle obtains the digital vehicle identity of the vehicle, wherein the following vehicle is confirmed by the following vehicle based on the digital vehicle identity of the vehicle.6. The method for operating the adaptive cruise system according to one of claim 1 to 5, wherein the method further comprises the following steps: S6, outputting prompt message the vehicle and/or the following vehicle before the self-adaptive cruise is finished; S7, interrupting the connection between the vehicle and the universe background system and stopping using the self-adaptive cruise system.7. The method for running adaptive cruise system according to one of claim 1 to 6, wherein the digital vehicle identity comprises at least one of the following: license plate number, vehicle user information, vehicle type, accident record, tracking record and so on.8. A controller, comprising: a controller, a memory, the memory is stored with a computer program with a computer program signal; a processor, the processor is configured to be adapted to when the computer program signal is executed by a processor for auxiliary implementation according to claim of the method according to any one of claim 1 to 7.9. The controller according to claim 8, wherein the controller is integrated in the vehicle interior control system or on the mobile device of the driver.10. A computer program product, wherein the computer program product comprises a computer program signal, when the computer program signal is executed by the processor, it is at least used for assisting to implement the method according to one of the claim 1 to 7.</t>
  </si>
  <si>
    <t>Gong, Zhimin|Zhai, Yide</t>
  </si>
  <si>
    <t>B60W0030165000</t>
  </si>
  <si>
    <t>B60W0030165000 | G08G0001096500 | G08G0001096725 | G08G0001096775 | G08G0001096800 | H04M0001724060 | H04M0001724090</t>
  </si>
  <si>
    <t>B60W03016500</t>
  </si>
  <si>
    <t>B60W03016500 | G08G00109650 | G08G00109670 | G08G00109680 | H04M00172406 | H04M00172409</t>
  </si>
  <si>
    <t>CN114633746A</t>
  </si>
  <si>
    <t>$7156</t>
  </si>
  <si>
    <t>CN114633746 A</t>
  </si>
  <si>
    <t>I-000226583006</t>
  </si>
  <si>
    <t>20 years from 2022-04-20 (file date)</t>
  </si>
  <si>
    <t>https://patentscout.innography.com/share/88ozpUKw3fiBdaYY8bA4Tw%3D%3D</t>
  </si>
  <si>
    <t>2022-06-17-PUBLICATION</t>
  </si>
  <si>
    <t>https://patentscout.innography.com/share/88ozpUKw3fiBdaYY8bA4Tw%3D%3D/download</t>
  </si>
  <si>
    <t>https://v3.espacenet.com/publicationDetails/biblio?CC=CN&amp;NR=114633746A&amp;KC=A&amp;FT=D&amp;date=20220617&amp;DB=EPODOC&amp;locale=</t>
  </si>
  <si>
    <t>1.  1.  A method for running adaptive cruise system, the method comprises the following steps: S1 obtaining the following request of the vehicle; S2 , establishing the connection between the vehicle and the universe background system; S3 , matching the heeled vehicle in the universe background system; S4 , confirming the permission of the following vehicle for the following request; S5 , starting the self-adaptive cruise system.</t>
  </si>
  <si>
    <t>2021-02-18</t>
  </si>
  <si>
    <t>Systems and methods are provided for a medical software platform for providing therapies to a patient user. For example the medical software platform can receive patient data and determine a patient state. The medical software platform can interact with the user device to provide one or more therapies associated with artificial intelligence (AI) robotics and/or extended reality (XR). With this combination the medical software platform can effectively diagnose and alleviate pain in various environments including in a metaverse or other online scenario.</t>
  </si>
  <si>
    <t>Electronic communication platform and application</t>
  </si>
  <si>
    <t>Le Reve Regenerative Wellness Inc.</t>
  </si>
  <si>
    <t>US17/675496</t>
  </si>
  <si>
    <t xml:space="preserve">A method for providing pain management in a technological environment using a patient user device and a medical software platform, the method comprising:
receiving, by the medical software platform, patient data associated with a patient, wherein the patient is experiencing a pain symptom;
determining, by the medical software platform, a state of the patient from the patient data;
comparing, by the medical software platform, the patient state with a threshold value of pain; and
when the patient state exceeds the threshold value of pain, providing, by the medical software platform to the patient user device, at least one of a plurality of therapies that corresponds with artificial intelligence (AI), robotics, or extended reality (XR) technology.
</t>
  </si>
  <si>
    <t>1. A method for providing pain management in a technological environment using a patient user device and a medical software platform, the method comprising:
receiving, by the medical software platform, patient data associated with a patient, wherein the patient is experiencing a pain symptom;
determining, by the medical software platform, a state of the patient from the patient data;
comparing, by the medical software platform, the patient state with a threshold value of pain; and
when the patient state exceeds the threshold value of pain, providing, by the medical software platform to the patient user device, at least one of a plurality of therapies that corresponds with artificial intelligence (AI), robotics, or extended reality (XR) technology.
2. The method of claim 1, wherein the patient data is first patient data, and the method further comprising:
receiving, by the medical software platform, second patient data;
comparing symptoms from the first patient data and the second patient data over time to determine a pattern of symptoms;
comparing the pattern of symptoms to a plurality of pain profiles; and
upon matching the pattern of symptoms with a pain profile from the plurality of pain profiles, providing a therapy plan corresponding with the pain profile to the patient user device.
3. The method of claim 1, further comprising:
tracking effectiveness of the at least one of the plurality of therapies using patient feedback received from the patient user device.
4. The method of claim 3, further comprising:
comparing the patient feedback with other patient data to determine correlations between feedback and timelines; and
updating the at least one of a plurality of therapies to a second therapy plan implemented for other patients based on the effectiveness of those therapy plans.
5. The method of claim 1, wherein the at least one of the plurality of therapies is based on an occupation of the patient.
6. The method of claim 1, further comprising:
altering a future therapy based on a comparison between the patient and other patients.
7. The method of claim 1, further comprising:
comparing patient recovery with approvals or denials of other therapies;
predicting a timeline for recovery associated with the approvals or the denials of the other therapies; and
providing the timeline for recovery to the patient user device or a physician user device.
8. The method of claim 1, wherein the plurality of therapies comprise at least one of rehabilitation therapies, nutritional counseling, yoga, mindfulness, or vocational counseling.
9. A medical software platform for providing pain management in a technological environment using a patient user device and medical software platform, the medical software platform comprising:
a memory; and
one or more processors that are configured to execute machine readable instructions stored in the memory for performing a method comprising:
receiving patient data associated with a patient, wherein the patient is experiencing a pain symptom;
determining a state of a patient from the patient data;
comparing the patient state with a threshold value of pain; and
when the patient state exceeds the threshold value of pain, providing, to the patient user device, at least one of a plurality of therapies that corresponds with artificial intelligence (AI), robotics, or extended reality (XR) technology.
10. The method of claim 9, wherein the patient data is first patient data, wherein the one or more processors further to:
receiving second patient data;
comparing symptoms from the first patient data and the second patient data over time to determine a pattern of symptoms;
comparing the pattern of symptoms to a plurality of pain profiles; and
upon matching the pattern of symptoms with a pain profile from the plurality of pain profiles, providing a therapy plan corresponding with the pain profile to the patient user device.
11. The method of claim 9, wherein the one or more processors further to:
tracking effectiveness of the at least one of the plurality of therapies using patient feedback received from the patient user device.
12. The method of claim 11, wherein the one or more processors further to:
comparing the patient feedback with other patient data to determine correlations between feedback and timelines; and
updating the at least one of a plurality of therapies to a second therapy plan implemented for other patients based on the effectiveness of those therapy plans.
13. The method of claim 9, wherein the at least one of the plurality of therapies is based on an occupation of the patient.
14. The method of claim 9, wherein the one or more processors further to:
altering a future therapy based on a comparison between the patient and other patients.
15. The method of claim 9, wherein the one or more processors further to:
comparing patient recovery with approvals or denials of other therapies;
predicting a timeline for recovery associated with the approvals or the denials of the other therapies; and
providing the timeline for recovery to the patient user device or a physician user device.
16. The method of claim 9, wherein the plurality of therapies comprise at least one of rehabilitation therapies, nutritional counseling, yoga, mindfulness, or vocational counseling.
17. A non-transitory machine readable media storing a plurality of instructions executable by one or more processors, the plurality of instructions when executed by the one or more processors cause the one or more processors to:
receive patient data associated with a patient, wherein the patient is experiencing one or more pain symptoms;
determine a state of a patient from the patient data;
compare the patient state with a threshold value of pain; and
when the patient state exceeds the threshold value of pain, provide, to the patient user device, at least one of a plurality of therapies that correspond with artificial intelligence (AI), robotics, or extended reality (XR) technology.
18. The non-transitory machine readable media of claim 17, wherein the patient data is first patient data, and the method further comprising:
receive second patient data;
compare symptoms from the first patient data and the second patient data over time to determine a pattern of symptoms;
compare the pattern of symptoms to a plurality of pain profiles; and
upon matching the pattern of symptoms with a pain profile from the plurality of pain profiles, provide a therapy plan corresponding with the pain profile to the patient user device.
19. The non-transitory machine readable media of claim 17, further comprising:
track effectiveness of the at least one of the plurality of therapies using patient feedback received from the patient user device.
20. The non-transitory machine readable media of claim 19, further comprising:
compare the patient feedback with other patient data to determine correlations between feedback and timelines; and
update the at least one of a plurality of therapies to a second therapy plan implemented for other patients based on the effectiveness of those therapy plans.</t>
  </si>
  <si>
    <t>Navani, Annu|Navani, Raj</t>
  </si>
  <si>
    <t>G06Q0040080000</t>
  </si>
  <si>
    <t>G06Q0040080000 | G16H0010600000 | G16H0015000000 | G16H0020400000 | G16H0040200000 | G16H0040670000 | G16H0050200000 | G16H0050700000 | G16H0080000000</t>
  </si>
  <si>
    <t>US20220261917A1|US20220262518A1</t>
  </si>
  <si>
    <t>US20220261917 A1 | US20220262518 A1</t>
  </si>
  <si>
    <t>I-000228684501</t>
  </si>
  <si>
    <t>https://patentscout.innography.com/share/DJsSxnLVgcCAkMdJkRNvKQ%3D%3D</t>
  </si>
  <si>
    <t>2022-02-18-ASSIGNMENT (LE REVE REGENERATIVE WELLNESS INC.)|2022-03-23-INFORMATION ON STATUS: PATENT APPLICATION AND GRANTING PROCEDURE IN GENERAL</t>
  </si>
  <si>
    <t>https://patentscout.innography.com/share/DJsSxnLVgcCAkMdJkRNvKQ%3D%3D/download</t>
  </si>
  <si>
    <t>https://ppubs.uspto.gov/pubwebapp/external.html?q=20220262518.pn.</t>
  </si>
  <si>
    <t>US20220262518 A1</t>
  </si>
  <si>
    <t>US20220261917 A1</t>
  </si>
  <si>
    <t>1. A method for providing pain management in a technological environment using a patient user device and a medical software platform, the method comprising:
receiving, by the medical software platform, patient data associated with a patient, wherein the patient is experiencing a pain symptom;
determining, by the medical software platform, a state of the patient from the patient data;
comparing, by the medical software platform, the patient state with a threshold value of pain; and
when the patient state exceeds the threshold value of pain, providing, by the medical software platform to the patient user device, at least one of a plurality of therapies that corresponds with artificial intelligence (AI), robotics, or extended reality (XR) technology.</t>
  </si>
  <si>
    <t>9. A medical software platform for providing pain management in a technological environment using a patient user device and medical software platform, the medical software platform comprising:
a memory; and
one or more processors that are configured to execute machine readable instructions stored in the memory for performing a method comprising:
receiving patient data associated with a patient, wherein the patient is experiencing a pain symptom;
determining a state of a patient from the patient data;
comparing the patient state with a threshold value of pain; and
when the patient state exceeds the threshold value of pain, providing, to the patient user device, at least one of a plurality of therapies that corresponds with artificial intelligence (AI), robotics, or extended reality (XR) technology.</t>
  </si>
  <si>
    <t>17. A non-transitory machine readable media storing a plurality of instructions executable by one or more processors, the plurality of instructions when executed by the one or more processors cause the one or more processors to:
receive patient data associated with a patient, wherein the patient is experiencing one or more pain symptoms;
determine a state of a patient from the patient data;
compare the patient state with a threshold value of pain; and
when the patient state exceeds the threshold value of pain, provide, to the patient user device, at least one of a plurality of therapies that correspond with artificial intelligence (AI), robotics, or extended reality (XR) technology.</t>
  </si>
  <si>
    <t>KR20080045561 A | KR101408155 B1 | KR20210068826 A | KR20210077120 A</t>
  </si>
  <si>
    <t>A sports event support platform service provision system is provided registration of sports event announcements organizer terminals performing management and operation of participants and events outputting sports event announcements application for participation in sports events and payment of participation fees  the participant terminal receiving information on participation results and the uploading unit that uploads the sports event to the page when registering a sports event announcement on the organizer terminal and a platform service providing server including a management unit and a guide unit for guiding the participation result to the participant terminal when the result of the sporting event is input from the organizer terminal.</t>
  </si>
  <si>
    <t>System for providing sports event supporting platform service</t>
  </si>
  <si>
    <t>Park, Ji Man</t>
  </si>
  <si>
    <t>KR20210157941A</t>
  </si>
  <si>
    <t>an organizer terminal that registers announcements of sporting events, and manages and operates participants and events;a participant terminal that outputs a notice of the sporting event, applies for participation in the sporting event and pays a participation fee, and is informed of a participation result;and an upload unit for uploading the sporting event to a page when the organizer terminal registers the announcement of the sporting event, a participant management unit for storing the sporting event as a participant when applying for and paying the participation fee in the participant terminal; When inputting the results of the sporting event in the organizer terminal, a guide for guiding the participation result to the participant terminal, an award division, an infographic unit for displaying information on provision and preparations as infographics tags, and the participation result A point payment unit that calculates and pays points to the participant terminal according to When registering a sports event announcement in the organizer terminal, basic settings, basic information, event category, event date and time, event location, recruitment category,A registration management unit that provides an announcement registration page to sequentially register host/host introduction and detailed information, a manager page for managing and operating the participants and the event with the organizer terminal, and the manager page is an event management menu , a manager mode providing unit that sets to include a participant management menu and a statistics/report menu, and at least one sports event template, and after entering event classification information when registering the announcement of the sports event in the organizer terminal A template providing unit for selecting one of the at least one template, and after the sports event is over, the organizer terminal calculates the settlement amount calculated based on the participation fee and event organizer fee of the participants who participated in the sports event. After receiving the measurement data from the event settlement management unit receiving a request for settlement of the settlement amount, and at least one device for measuring the record of a sporting event in the organizer terminal,When scanning the identification code given to the participant of the participant terminal, a platform service providing server including a record unit for mapping and storing the identification code as the participant's game record; and, wherein the participant management unit includes: In order to relay the game situation, an avatar is created using a real-time metaverse and the face or identity of each participant is not revealed. The athlete participation prevention unit stores the list and face of at least one sports type and athlete registered as professional and amateur athletes in a database, the participant name, date of birth and email of the participant terminal, and at least one stored in the database If the name, date of birth, and e-mail of the sports type and player's roster ofA system for providing a sports event support platform service, characterized in that it is confirmed whether the face of the participant who receives the prize money is the same person by comparing the face of the at least one player stored in the database.</t>
  </si>
  <si>
    <t>an organizer terminal that registers announcements of sporting events, and manages and operates participants and events;a participant terminal that outputs a notice of the sporting event, applies for participation in the sporting event and pays a participation fee, and is informed of a participation result;
and an upload unit for uploading the sporting event to a page when the organizer terminal registers the announcement of the sporting event, a participant management unit for storing the sporting event as a participant when applying for and paying the participation fee in the participant terminal; When inputting the results of the sporting event in the organizer terminal, a guide for guiding the participation result to the participant terminal, an award division, an infographic unit for displaying information on provision and preparations as infographics tags, and the participation result A point payment unit that calculates and pays points to the participant terminal according to When registering a sports event announcement in the organizer terminal, basic settings, basic information, event category, event date and time, event location, recruitment category,
A registration management unit that provides an announcement registration page to sequentially register host/host introduction and detailed information, a manager page for managing and operating the participants and the event with the organizer terminal, and the manager page is an event management menu , a manager mode providing unit that sets to include a participant management menu and a statistics/report menu, and at least one sports event template, and after entering event classification information when registering the announcement of the sports event in the organizer terminal A template providing unit for selecting one of the at least one template, and after the sports event is over, the organizer terminal calculates the settlement amount calculated based on the participation fee and event organizer fee of the participants who participated in the sports event. After receiving the measurement data from the event settlement management unit receiving a request for settlement of the settlement amount, and at least one device for measuring the record of a sporting event in the organizer terminal,
When scanning the identification code given to the participant of the participant terminal, a platform service providing server including a record unit for mapping and storing the identification code as the participant's game record; and, wherein the participant management unit includes: In order to relay the game situation, an avatar is created using a real-time metaverse and the face or identity of each participant is not revealed. The athlete participation prevention unit stores the list and face of at least one sports type and athlete registered as professional and amateur athletes in a database, the participant name, date of birth and email of the participant terminal, and at least one stored in the database If the name, date of birth, and e-mail of the sports type and player's roster of
A system for providing a sports event support platform service, characterized in that it is confirmed whether the face of the participant who receives the prize money is the same person by comparing the face of the at least one player stored in the database.
delete
delete
delete
delete
delete
delete
delete
delete
delete</t>
  </si>
  <si>
    <t>G06Q05010000 | G06K01906000 | G06Q03002000</t>
  </si>
  <si>
    <t>KR102432158B1</t>
  </si>
  <si>
    <t>KR102432158 B1</t>
  </si>
  <si>
    <t>I-000228833021</t>
  </si>
  <si>
    <t>https://patentscout.innography.com/share/Su0hpMZL6JRTlipmEzYOAw%3D%3D</t>
  </si>
  <si>
    <t>2022-03-31-AMENDMENT|2022-06-22-DECISION TO REFUSE APPLICATION|2022-06-22-APPLICATION REFUSED [PATENT]|2022-07-04-AMENDMENT|2022-08-04-DECISION TO GRANT (AFTER RE-EXAMINATION)|2022-08-09-WRITTEN DECISION TO GRANT</t>
  </si>
  <si>
    <t>https://patentscout.innography.com/share/Su0hpMZL6JRTlipmEzYOAw%3D%3D/download</t>
  </si>
  <si>
    <t>https://v3.espacenet.com/publicationDetails/biblio?CC=KR&amp;NR=102432158B1&amp;KC=B1&amp;FT=D&amp;date=20220812&amp;DB=EPODOC&amp;locale=</t>
  </si>
  <si>
    <t>KR20102432158 B1</t>
  </si>
  <si>
    <t>1.  an organizer terminal that registers announcements of sporting events, and manages and operates participants and events;a participant terminal that outputs a notice of the sporting event, applies for participation in the sporting event and pays a participation fee, and is informed of a participation result;
and an upload unit for uploading the sporting event to a page when the organizer terminal registers the announcement of the sporting event, a participant management unit for storing the sporting event as a participant when applying for and paying the participation fee in the participant terminal; When inputting the results of the sporting event in the organizer terminal, a guide for guiding the participation result to the participant terminal, an award division, an infographic unit for displaying information on provision and preparations as infographics tags, and the participation result A point payment unit that calculates and pays points to the participant terminal according to When registering a sports event announcement in the organizer terminal, basic settings, basic information, event category, event date and time, event location, recruitment category,
A registration management unit that provides an announcement registration page to sequentially register host/host introduction and detailed information, a manager page for managing and operating the participants and the event with the organizer terminal, and the manager page is an event management menu , a manager mode providing unit that sets to include a participant management menu and a statistics/report menu, and at least one sports event template, and after entering event classification information when registering the announcement of the sports event in the organizer terminal A template providing unit for selecting one of the at least one template, and after the sports event is over, the organizer terminal calculates the settlement amount calculated based on the participation fee and event organizer fee of the participants who participated in the sports event. After receiving the measurement data from the event settlement management unit receiving a request for settlement of the settlement amount, and at least one device for measuring the record of a sporting event in the organizer terminal,
When scanning the identification code given to the participant of the participant terminal, a platform service providing server including a record unit for mapping and storing the identification code as the participant's game record; and, wherein the participant management unit includes: In order to relay the game situation, an avatar is created using a real-time metaverse and the face or identity of each participant is not revealed. The athlete participation prevention unit stores the list and face of at least one sports type and athlete registered as professional and amateur athletes in a database, the participant name, date of birth and email of the participant terminal, and at least one stored in the database If the name, date of birth, and e-mail of the sports type and player's roster of
A system for providing a sports event support platform service, characterized in that it is confirmed whether the face of the participant who receives the prize money is the same person by comparing the face of the at least one player stored in the database.</t>
  </si>
  <si>
    <t>2022-06-05</t>
  </si>
  <si>
    <t>2042-06-05</t>
  </si>
  <si>
    <t>The invention claims a meta-space multi-platform interaction method and system the interaction method comprises the following steps: a sub-universe confirmation technology interaction rule of the service layer the sub-universe and the universe multi-platform interactive system realizes network connection the universe multi-platform interactive system operates interaction rule the user of the universe universe selects to enter the other sub-universe the system of the meta-universe multi-platform interaction regularly performs settlement and user management of the sub-universe economic level according to the rule perfecting the interaction rule according to the requirement of the sub-element universe and removing the interaction relationship according to the requirement of the sub-element universe. The system for realizing the method comprises a network module a safety protection module an operation monitoring module a data storage module a system management module a user identity interaction module an economic interaction module and a rule interaction module. The interactive method and system of the invention can solve the problem that the user cannot use the platform in the universe.</t>
  </si>
  <si>
    <t>A method and system for multi-platform interaction of universe universe</t>
  </si>
  <si>
    <t>Shenzhen Second People's Hospital (shenzhen Institute Of Translational Medicine)</t>
  </si>
  <si>
    <t>SHENZHEN SECOND PEOPLE'S HOSPITAL (SHENZHEN INSTITUTE OF TRANSLATIONAL MEDICINE)</t>
  </si>
  <si>
    <t>CN202210626721A</t>
  </si>
  <si>
    <t>1. A system of universe multi-platform interaction, comprising a network module, a safety protection module, an operation monitoring module, a data storage module, a system management module, wherein The system further comprises an identity interaction module, an economic interaction module, a rule interaction module.</t>
  </si>
  <si>
    <t>1. A system of universe multi-platform interaction, comprising a network module, a safety protection module, an operation monitoring module, a data storage module, a system management module, wherein The system further comprises an identity interaction module, an economic interaction module, a rule interaction module.2. The system according to claim 1, wherein said system of universe multi-platform interaction can be independent software and hardware system, or embedded software and hardware system.3. A method for multi-platform interaction of universe universe, wherein it comprises the following steps: sub-element space confirmation technology, interaction rule of the service layer; the sub-element universe is connected with the system of the universe multi-platform interaction through the network; the system operation interaction rule of the meta-universe multi-platform interaction; a user of the universe universe selects to enter the other sub-universe; the system according to the universe multi-platform interaction regularly carries out settlement of economic layer between sub-universe and user identity management; perfecting the interaction rule according to the requirement of the sub-element universe; According to the requirement of the sub-element universe, the interactive relationship is released.4. The meta-space multi-platform interaction method according to claim 3, wherein the inter-space confirmation technology of the sub-space comprises: the interaction rule of the service layer comprises: at least selecting two sub-primitive universe platforms; confirming the network connection mode between the sub-element space platforms; confirming the user identity authentication mode between the sub-element space platforms; confirming the value payment tool ratio between the sub-element space platform, economic interaction rule of platform service rate, confirming the cross-platform user residence time limit between the sub-element space platforms; entry condition, exit condition, management and interaction of identity information management and behavior data; confirming the user credit rule between the sub-element universe platforms; a rule updating manner is confirmed between the sub-primitive universe platforms; The rule conflict processing way is confirmed between the sub-primitive universe platforms.5. The meta-space multi-platform interaction method according to claim 3, wherein the system operation interaction rule of the universe multi-platform interaction comprises: the identity interacting module operates the user identity authentication and the user behaviour managing rule; economic interaction module operating value payment tool amount limit, value payment tool ratio, platform service fee, transaction frequency limit, transaction amount quota and transaction punishment rule; the rule interaction module is used for running the inter-space interaction rule of the sub-elements.6. The meta-space multi-platform interaction method according to claim 3, wherein the user selects to enter the other sub-element universe, comprising: the user in the universe universe uses the search or the entrance of the other sub-universe according to the recommendation obtain the user enters the other sub-universe; the other sub-space universe judges whether it is allowed to enter according to said user entering condition; if it is not allowed to enter, then sending prompt message the user and informing the system of the universe multi-platform interaction; if it is allowed to enter, then according to the interaction rule to authenticate the user; the user enters the other sub-space universe after being authenticated; the user leaves the sub-element universe, the user state of the sub-element universe is changed to be frozen; the other sub-element universe judges whether the user enters in the first time; if it is the first entry, then generating new identity of the user in the other sub-universe according to the interaction rule; if not for the first time, recovering the freezing identity of the user in the other sub-element universe according to the interaction rule.7. The meta-space multi-platform interaction method according to claim 3, wherein the system according to the meta-space multi-platform interaction regularly performs settlement of the sub-space economic layer and user identity management according to the rule: there is exchange value payment tool between the sub-element universe with interactive relationship, clearing the economic transaction generated by the sub-element universe; settling according to the settlement result; the sub-element universe forcibly removes the cross-platform overstaying user according to the user exit rule; sending the cross-platform overstared user information to the meta-universe multi-platform interactive system by the sub-element universe; the metaverse multi-platform interactive system sends the clearing cross-platform overstared user information to the sub-universe platform of the overstared user.8. The meta-space multi-platform interaction method according to claim 3, wherein the step of removing the interactive relation according to the requirement of the sub-element universe comprises: the sub-unit universe universe universe multi-platform interactive system sends the request of releasing the interactive relation with the other sub-universe; the meta-universe multi-platform interaction system forwards the request of releasing the interaction relation to the other sub-space universe; if the other sub-element universe agree to release the interaction relationship; clearing the settlement of the economic level of the sub-element universe and cleaning the user layer; the other sub-element universe confirms the settlement of the economic level and the cleaning of the user plane; the meta-universe multi-platform interactive system disconnects the service connection between the sub-universe platforms of the interactive relationship.</t>
  </si>
  <si>
    <t>Wang, Ying|Zhang, Yanpeng</t>
  </si>
  <si>
    <t>G06F0021310000</t>
  </si>
  <si>
    <t>G06F0021310000 | G06F0021450000 | H04L0041063100 | H04L0063144100 | H04L0067120000</t>
  </si>
  <si>
    <t>G06F02131000 | G06F02145000 | H04L00940000 | H04L04106310 | H04L06712000</t>
  </si>
  <si>
    <t>CN114969696A</t>
  </si>
  <si>
    <t>CN114969696 A</t>
  </si>
  <si>
    <t>I-000229409481</t>
  </si>
  <si>
    <t>20 years from 2022-06-05 (file date)</t>
  </si>
  <si>
    <t>https://patentscout.innography.com/share/RZZE41zGAmBiGIH2n2PwNw%3D%3D</t>
  </si>
  <si>
    <t>https://patentscout.innography.com/share/RZZE41zGAmBiGIH2n2PwNw%3D%3D/download</t>
  </si>
  <si>
    <t>https://v3.espacenet.com/publicationDetails/biblio?CC=CN&amp;NR=114969696A&amp;KC=A&amp;FT=D&amp;date=20220830&amp;DB=EPODOC&amp;locale=</t>
  </si>
  <si>
    <t>1.  1.  A system of universe multi-platform interaction, comprising a network module, a safety protection module, an operation monitoring module, a data storage module, a system management module, wherein The system further comprises an identity interaction module, an economic interaction module, a rule interaction module.</t>
  </si>
  <si>
    <t>3.  3.  A method for multi-platform interaction of universe universe, wherein it comprises the following steps: sub-element space confirmation technology, interaction rule of the service layer; the sub-element universe is connected with the system of the universe multi-platform interaction through the network; the system operation interaction rule of the meta-universe multi-platform interaction; a user of the universe universe selects to enter the other sub-universe; the system according to the universe multi-platform interaction regularly carries out settlement of economic layer between sub-universe and user identity management; perfecting the interaction rule according to the requirement of the sub-element universe; According to the requirement of the sub-element universe, the interactive relationship is released.</t>
  </si>
  <si>
    <t>2042-07-18</t>
  </si>
  <si>
    <t>The invention claims a universe 3 D display system method and related device for displaying the real 3 D effect. the universe 3 D display system comprises a 3 D display screen the 3 D display screen comprises a liquid crystal grating from up to down sequentially a liquid crystal display module and a backlight module the liquid crystal grating is composed of grating units arranged in array the grating unit is corresponding to the pixel units of the liquid crystal display module one by one the arrangement direction of the grating unit and the sub-pixel long side direction of the pixel unit are vertical or less than 45 degrees included angle; a processor for adjusting the voltage applied to the corresponding grating unit according to the pixel depth value of the to-be-displayed 3 D picture; displaying the 3 D image on the liquid crystal display module through the liquid crystal grating.</t>
  </si>
  <si>
    <t>The universe 3 d display system, method and related device</t>
  </si>
  <si>
    <t>Future Technology (xiangyang) Co., Ltd.</t>
  </si>
  <si>
    <t>FUTURE TECHNOLOGY (XIANGYANG) CO., LTD.</t>
  </si>
  <si>
    <t>CN202210873922A</t>
  </si>
  <si>
    <t>1. An element universe 3 D display system, wherein it comprises: the 3 D display screen comprises a liquid crystal grating, a liquid crystal display module and a backlight sequentially, the liquid crystal grating is composed of grating units arranged in array, the grating unit is corresponding to the pixel units of the liquid crystal display module one by one, the arrangement direction of the grating unit and the sub-pixel long side direction of the pixel unit are vertical or less than 45 degrees included angle; a processor for adjusting the voltage applied to the corresponding grating unit according to the pixel depth value of the to-be-displayed 3 D picture; displaying the 3 D image on the liquid crystal display module through the liquid crystal grating.</t>
  </si>
  <si>
    <t>1. An element universe 3 D display system, wherein it comprises: the 3 D display screen comprises a liquid crystal grating, a liquid crystal display module and a backlight sequentially, the liquid crystal grating is composed of grating units arranged in array, the grating unit is corresponding to the pixel units of the liquid crystal display module one by one, the arrangement direction of the grating unit and the sub-pixel long side direction of the pixel unit are vertical or less than 45 degrees included angle; a processor for adjusting the voltage applied to the corresponding grating unit according to the pixel depth value of the to-be-displayed 3 D picture; displaying the 3 D image on the liquid crystal display module through the liquid crystal grating.2. The meta-universe 3 D display system according to claim 1, wherein when the 3 D display screen is a 3 D display, model processor applies a voltage to the grating unit included in the liquid crystal grating; when the 3 D display screen is switched from the 3 D display model the 2 D display, model processor stops applying voltage to the grating unit.3. The universe 3 D display system according to claim 2, wherein the processor is specifically used for: according to the depth information change value corresponding to each pixel in the to-be-displayed 3 D picture, adjusting the voltage value of the electrode corresponding to the grating unit corresponding to each pixel, the 3 D picture comprises a 2 D picture and a corresponding depth map, when the pixel value changes, the corresponding depth value follows the change, one surface of the liquid crystal grating surface facing the liquid crystal screen is a ground electrode, the other surface is provided with a strip electrode arranged in array, the strip electrode is corresponding to the pixel unit of the liquid crystal display module one by one, the strip electrode is located in the pixel centre and is vertical to the long side direction of the sub pixel, applying AC voltage relative to the ground level to each strip electrode at a specific frequency, wherein the voltage applied by each strip electrode is changed along with the change of the depth value of the corresponding pixel, so that the focal length of the cylindrical lens equivalent to the grating unit corresponding to the corresponding pixel is changed.4. The metaverse 3 D display system according to claim 3, wherein it further comprises: an optical system, the pixel of the liquid crystal display module is converged on the front space of the 3 D display screen through a lens, the optical system is used for reflecting and presenting the pixel of the liquid crystal display module as a virtual image, wherein the convergence point is located in the pixel before the first reflecting mirror surface, presenting the screen-in effect, the collecting point is located behind the first reflecting mirror surface of the pixel, presenting the screen effect, the optical system comprises one or more of reflection, comprising one or more of the following reflectors: concave reflector, or convex reflector, or plane reflector, the first reflecting mirror surface is the last reflection of the mirror surface.5. The universe 3 D display system according to claim 4, wherein when the 3 D display screen is a 3 D display, model the electrodes are applied with a basic voltage which is not zero, the base voltage is used for forming the pixel of the liquid crystal display module into virtual image through the optical system, and determining the minimum viewing angle range of the meta-universe 3 D display system together with the optical system, wherein V = A + D* B, V is used for representing the voltage applied to the electrode of the corresponding pixel, wherein the A is used for representing the base voltage, D is used for representing the depth value of the corresponding pixel, B is constant coefficient.6. The meta-universe 3 D display system according to claim 1, wherein the backlight module comprises a plurality of light source arrays arranged in sequentially interval of, between the light source array and the liquid crystal display module further comprises a gap filling layer, the thickness of the gap filling layer is M, wherein M=L* D/N, the L is used for representing the sight distance, the sight distance is the distance from the human eye to the liquid crystal display module, the D is the minimum size of the pixel molecular unit, the N is used for representing the pupillary distance distance of the pupillary distance of the viewer.7. The universe 3 D display system according to claim 6, wherein the universe 3 D display system further comprises: an electric control liquid crystal lens panel, the electric control liquid crystal perspective panel is attached to the surface of the liquid crystal display module, when the electric control liquid crystal lens panel is working, the naked eye 3 D display system is in the 3 D display model when the electric control liquid crystal lens panel is not working, the 3 D display system is in the 2D display model8. A 3 D display method applied to the universe, wherein it comprises: the 3 D display screen comprises a liquid crystal grating, a liquid crystal display module and a backlight sequentially, the liquid crystal grating is composed of grating units arranged in array, the grating unit is corresponding to the pixel units of the liquid crystal display module one by one, the arrangement direction of the grating unit and the sub-pixel long side direction of the pixel unit are vertical or less than 45 degrees included angle; adjusting the applied voltage of the corresponding grating unit according to the pixel depth value of the to-be-displayed 3 D picture; displaying the 3 D image on the liquid crystal display module through the liquid crystal grating.9. A computer device, wherein it comprises: at least one connected processor, a memory and a transceiver, wherein the memory is used for storing program code, the processor is used for invoking the program code in the memory to execute the method according to claim 8 applied to the universe of the 3 D display method.10. The computer storage medium according to claim 1, further comprising: instruction, when the instruction is run on the computer, the computer executes the method according to claim 8 applied to the universe of the 3 D display method.</t>
  </si>
  <si>
    <t>He, Shu|Gao, Wei</t>
  </si>
  <si>
    <t>G02B03031000</t>
  </si>
  <si>
    <t>CN115016139A</t>
  </si>
  <si>
    <t>CN115016139 A</t>
  </si>
  <si>
    <t>I-000229668158</t>
  </si>
  <si>
    <t>20 years from 2022-07-18 (file date)</t>
  </si>
  <si>
    <t>https://patentscout.innography.com/share/3dTYYUtRoue8OaDT69GtDQ%3D%3D</t>
  </si>
  <si>
    <t>2022-09-06-PUBLICATION|2022-09-23-ENTRY INTO FORCE OF REQUEST FOR SUBSTANTIVE EXAMINATION</t>
  </si>
  <si>
    <t>https://patentscout.innography.com/share/3dTYYUtRoue8OaDT69GtDQ%3D%3D/download</t>
  </si>
  <si>
    <t>https://v3.espacenet.com/publicationDetails/biblio?CC=CN&amp;NR=115016139A&amp;KC=A&amp;FT=D&amp;date=20220906&amp;DB=EPODOC&amp;locale=</t>
  </si>
  <si>
    <t>1.  1.  An element universe 3 D display system, wherein it comprises: the 3 D display screen comprises a liquid crystal grating, a liquid crystal display module and a backlight sequentially, the liquid crystal grating is composed of grating units arranged in array, the grating unit is corresponding to the pixel units of the liquid crystal display module one by one, the arrangement direction of the grating unit and the sub-pixel long side direction of the pixel unit are vertical or less than 45 degrees included angle; a processor for adjusting the voltage applied to the corresponding grating unit according to the pixel depth value of the to-be-displayed 3 D picture; displaying the 3 D image on the liquid crystal display module through the liquid crystal grating.</t>
  </si>
  <si>
    <t>8.  8.  A 3 D display method applied to the universe, wherein it comprises: the 3 D display screen comprises a liquid crystal grating, a liquid crystal display module and a backlight sequentially, the liquid crystal grating is composed of grating units arranged in array, the grating unit is corresponding to the pixel units of the liquid crystal display module one by one, the arrangement direction of the grating unit and the sub-pixel long side direction of the pixel unit are vertical or less than 45 degrees included angle; adjusting the applied voltage of the corresponding grating unit according to the pixel depth value of the to-be-displayed 3 D picture; displaying the 3 D image on the liquid crystal display module through the liquid crystal grating.</t>
  </si>
  <si>
    <t>US9367815 B2 | US10552764 B1 | US11029651 B2 | US11257574 B1 | US20190244122 A1 | US20190354853 A1 | US20190370697 A1 | US20210133621 A1 | US20210295427 A1 | US20210334693 A1 | US20210350004 A1 | US20200167677 A1 | US20200349455 A1</t>
  </si>
  <si>
    <t>reinforcement learning|explanation|learning system|symbolic|reward</t>
  </si>
  <si>
    <t xml:space="preserve">A method for providing an explainable agent for estimating an explainable reward function of a reinforcement learning program and managing a controller according to an estimate of the explainable reward function, comprising:
acquiring, from one or more sensors configured to monitor an external environment, an observed space comprising one or more states and one or more actions, and, with the reinforcement learning program, modeling the observed space as a plurality of explainable state-action pairs;
forming one or more explainable models comprising a simulated environment and a reward function, and integrating at least one of the one or more explainable models with a controller interface associated with the controller;
returning at least one explanation from at least one of the one or more explainable models corresponding to at least one state and at least one reward;
generating an explanation scaffolding;
applying a filter or transform to convert the explanation scaffolding into an interpretation scaffolding; and
identifying, based on the at least one state, at least one state-action pair, and executing at least one action in the external environment via the controller via the controller interface corresponding to the at least one state-action pair, based on the at least one explanation, wherein the at least one state-action pair is maintained as a constant connection point after selecting the at least one state until after the at least one action is performed.
</t>
  </si>
  <si>
    <t>1. A method for providing an explainable agent for estimating an explainable reward function of a reinforcement learning program and managing a controller according to an estimate of the explainable reward function, comprising:
acquiring, from one or more sensors configured to monitor an external environment, an observed space comprising one or more states and one or more actions, and, with the reinforcement learning program, modeling the observed space as a plurality of explainable state-action pairs;
forming one or more explainable models comprising a simulated environment and a reward function, and integrating at least one of the one or more explainable models with a controller interface associated with the controller;
returning at least one explanation from at least one of the one or more explainable models corresponding to at least one state and at least one reward;
generating an explanation scaffolding;
applying a filter or transform to convert the explanation scaffolding into an interpretation scaffolding; and
identifying, based on the at least one state, at least one state-action pair, and executing at least one action in the external environment via the controller via the controller interface corresponding to the at least one state-action pair, based on the at least one explanation, wherein the at least one state-action pair is maintained as a constant connection point after selecting the at least one state until after the at least one action is performed.
2. The method for providing the explainable agent of claim 1, wherein the explanation indicates one or more actions or one or more decisions of the at least one explainable model.
3. The method for providing the explainable agent of claim 1, wherein one or more constraints in the reward function comprise at least one of: a real-world physics model, an experimentally derived knowledge base, a knowledge base, a knowledge graph, a taxonomy, an ontology, a symbolic rule, a set of Bayesian estimates, a set of expert-derived samples, a set of simulator-derived samples, a set of environment-derived samples, and a simulator constraint model with statistical, causal, symbolic and neuro-symbolic constraints.
4. The method for providing the explainable agent of claim 1, further comprising identifying, from the observed space, one or more irreversible states and one or more reversible states, a range, a cost, a reward, and an impact, or a consequence of executing one or more states.
5. The method for providing the explainable agent of claim 1, wherein the one or more explainable models comprise an iterative Monte Carlo Search Tree (MCST) policy, wherein the MCST policy is configured to minimize an error between a predicted policy and an observed policy, wherein the predicted policy comprises a plurality of value targets and rewards obtained from the explainable model, and the observed policy comprises one or more value targets and rewards identified from the observed space, wherein the MCST policy is configured to provide plausibility checks.
6. The method for providing the explainable agent of claim 1, wherein the one or more explainable models are implemented across a distributed explainable architecture, wherein each of the one or more explainable models is trained and operated independently.
7. The method for providing the explainable agent of claim 1, wherein an explainable model in the one or more explainable models implements an audit system log, and wherein the explainable model is implemented and verified by on a combination of systems based on one or more of the Temporal Logic of Actions, Abstract Machine Notation, Petri Nets, and Computation Tree Logic and further comprising storing the audit system log on a system of record, distributed ledger technology, or a tamper-proof and traceable database, wherein the audit system log is configured to preserve personal data and information with respect to data privacy using differential, secure multi-party computation, federated, and homomorphic solutions.
8. The method for providing the explainable agent of claim 1, wherein an explainable model in the one or more explainable models is represented by a Resource Description Framework (RDF) tree, RDF graph, hypergraph structure or a simplicial complex.
9. The method for providing the explainable agent of claim 1, wherein the observed space comprises input data comprising one or more of 2D data, 3D data, multi-dimensional data arrays, transactional data, time series, digitized samples, sensor data, image data, hyper-spectral data, natural language text, video data, audio data, haptic data, LIDAR data, RADAR data, SONAR data, and navigational data, and wherein one or more datapoints have an associated label indicating an output value or classification for the datapoints or for a continuous or non-continuous interval of datapoints;
wherein the observed space is configured to generate one or more realistic environmental simulations comprising one or more virtual reality simulations, augmented reality simulations, virtual collaboration spaces, educational spaces, training environments, and metaverses;
wherein the generated one or more realistic environmental simulations provide data samples to said at least one XRL agent in relation to the environment for experience learning; and
wherein the data samples are processed with at least one secure traceable digital code, distributed ledger entry, or non-fungible token.
10. The method for providing the explainable agent of claim 1, wherein an explainable model in the one or more explainable models is implemented on a hardware comprising at least one of: a flexible architectures or field programmable gate array, a static architecture or application specific integrated circuit, analog or digital electronics, photo-electronics, optical processors, neuromorphic architectures, spintronics, or memristors, discrete computing components, spiking neurons, robotic hardware, autonomous vehicles, industrial control hardware, or quantum computing hardware, and further comprising applying a quantization or hardware-oriented compression technique on the hardware.
11. The method for providing the explainable agent of claim 1, wherein the one or more explainable models implement an explainable generative adversarial imitation learning method on an explainable generative adversarial network to train an occupancy measure of a policy to be as close as possible to an occupancy measure of a policy of an expert.
12. The method for providing the explainable agent of claim 1, further comprising injecting a human-defined rule into the one or more explainable models, wherein the human-defined rule comprises a fixed modification to one or more of the internal coefficients and verifying the model interpretation against a specification of desired behavior comprising at least one safety assurance, and wherein the human-defined rule is static.
13. The method for providing the explainable agent of claim 1, wherein one or more rules from the one or more explainable models comprise quantum extensions configured to interpret quantum annealing effects using one or more qubit states, qubit basis states, mixed states, Ancilla bits, and wherein the one or more explainable models comprise at least one quantum controlled not gate, controlled-swap gate, Ising gate, Pauli gate, Hadamard gate, or Toffoli gate.
14. The method for providing the explainable agent of claim 1, further comprising using at least a selection of the one or more explainable models to form an explanation structure model (ESM) comprising the at least the selection of the one or more explainable models, a statistical structural model which models a plurality of statistical relationships, a causal structural model (CSM), the CSM modeling a plurality of causal relationships, and a symbolic structural model, the symbolic structural model modeling a plurality of symbolic and logical relationships formed as one or more rules and/or symbolic logic, wherein one or more statistical, causal, symbolic, or logical relationships are modeled as an anchor component, and further comprising implementing an explanation interpretation generation system (EIGS) and/or an explanation filter interpretation configured to output an explanation output template (EOT).
15. The method for providing the explainable agent of claim 1, further comprising implementing one or more action and policy rules using at least one digital-analogue hybrid system, optical system, quantum entangled system, bio-electrical interface, or bio-mechanical interface.
16. The method for providing the explainable agent of claim 1, wherein the one or more explainable models implement one or more workflows, process flows, Fast Weights, Robotic Process Automation (RPA), Decision Support System (DSS), Data Lake, Root Cause Analysis (RCA), Goal-Plan-Action (GPA) system, process description, state-transition charts, Petri networks, electronic circuits, logic gates, optical circuits, digital-analogue hybrid circuits, bio-mechanical interfaces, bio-electrical interface, and quantum circuits.
17. The method for providing the explainable agent of claim 1, wherein the at least one explanation further comprises at least one of a basic interpretation, an explanatory interpretation, and a meta-explanatory interpretation, and a neuro-symbolic conditional constraint with a rate of activations in order to constrain the rate of trigger activation with respect to an explainable model, wherein the neuro-symbolic conditional constraint is implemented as symbolic rules or system of symbolic expressions, polynomial expressions, conditional and non-conditional probability distributions, joint probability distributions, state-space and phase-space transforms, integer/real/complex/quaternion/octonion transforms, Fourier transforms, Walsh functions, Haar and non-Haar wavelets, generalized L2 functions, fractal-based transforms, Hadamard transforms, Type 1 and Type 2 fuzzy logics, difference analyses, and knowledge graph networks.
18. The method for providing the explainable agent of claim 1, wherein the one or more explainable models further comprise one or more conditional constraints configured to trigger one or more of the actions, and wherein the one or more explainable models forms a behavioral model or a behavioral model hierarchy.
19. The method for providing the explainable agent of claim 1, further comprising:
forming a predictive function from the one or more explainable models and observed space;
using the predictive function, predicting one or more future states corresponding to one or more states;
comparing the predicted future states with one or more of the observed states to calculate a plausibility value.
20. The method for providing the explainable agent of claim 1, further comprising predicting an expected behavior of one or more other agents or models for at least one of:
self-training against a simulated environment,
self-training using interventional actions against a simulated environment,
active learning against a live environment,
active learning using interventional actions against a live environment,
mimic learning, and
experience learning.
21. The method for providing the explainable agent of claim 1, further comprising predicting, using one of the one or more explainable models, an expected behavior of one other explainable model from the one or more explainable models, and making independent decisions and optimizations based on a combination of local and global environments and explanations.
22. The method for providing the explainable agent of claim 1, wherein the one or more explainable models further comprise a Markov Decision Process or Partially Observable Markov Decision Process.
23. The method for providing the explainable agent of claim 1, wherein each explainable state-action pair identifies a state, an explanation of the state, and an associated action based on the explanation of the state, wherein the at least one action corresponding to the at least one state-action pair is identified based on an explanation associated with one or more states.
24. The method for providing the explainable agent of claim 1, wherein the explanations comprise scenario-based explanations associated with a what-if, what-if-not, counterfactual, but-for, and conditional scenarios for generating explained strategies and scenario-based explanations in accordance with the actions and decisions of the explainable agent; and/or
wherein the explainable agent is trained to learn suggested actions for a given user with a specific context leading to a change in decision outcome and minimizing total cost of actions, wherein the total costs is an amalgamation of one or more costs associated with each variable based on a metric for each type of cost; and/or
wherein the scenario-based explanations in relation to use of a nearest-neighbor method, Identify-Assess-Recommend-Resolve (IAR) framework, Multiple Objective Optimization (MOO), Pareto Front Method, Particle Swarm Optimization (PSO), Genetic Algorithms (GA), Bayesian Optimization, Evolutionary Strategies, Gradient Descent techniques and Monte Carlo Simulation (MCS).
25. The method for providing the explainable agent of claim 1, further comprising providing an experience dataset comprising sequential input data, and identifying a connection between a data point in the sequential input data and a state and/or action.
26. The method for providing the explainable agent of claim 1, further comprising forming a policy, the policy representing an explainable mapping of states and corresponding actions;
monitoring another model in order to detect an anomalous behavior, detecting one or more instances of data drift and Out-of-Distribution (OOD) instances, detecting a plurality of abnormal deviations from one or more nominal operational cycles, analyzing and assessing a behavior of the one or more models under OOD and anomalous instances, variation, deviation, performance and resource usage monitoring, Nyquist plots, Bode plots, phase-space, and an industry-specific monitoring activity.
27. The method for providing the explainable agent of claim 1, further comprising updating the plurality of explainable state-action pairs by applying at least one of a Bellman equation, an explainable multi-stage optimization technique, an explainable temporal difference optimization technique, and an explainable multi-stage dynamic programming technique.
28. The method for providing the explainable agent of claim 1, further comprising returning at least one of: an explainable action, or an interpretation corresponding to at least one of a state, a reward and one or more partitions in a partition structure, by applying a combination of abductive logic, inductive logic, deductive logic and causal logic.
29. The method for providing the explainable agent of claim 1, further comprising sending the input data to a model, wherein the model is explainable or interpretable and wherein the model is part of an explanation interpretation generation system, and identifying at least one of an answer, a model explanation, and a justification of the answer; and
iteratively processing and evaluating the explanation scaffolding to generate a candidate explanation.
30. The method for providing the explainable agent of claim 1, wherein an explainable architecture is implemented to represent an explainable Bellman equation defining a Q-value, wherein the explainable state-action pairs and a Bellman equation are used to form the explainable Bellman equation, and wherein the Q-value is minimized by comparing the Q-value with a static scalar value or a dynamic value computed from a difference function based on the Q-value and one or more Q-learning weights associated with the explainable Bellman equation, and wherein a regularization weight is applied to the explainable Bellman equation.</t>
  </si>
  <si>
    <t>G09B00900000 | G06N02000000</t>
  </si>
  <si>
    <t>https://patentscout.innography.com/share/KRj0e0hk-n3rLs8v_Z-AmA%3D%3D</t>
  </si>
  <si>
    <t>https://patentscout.innography.com/share/KRj0e0hk-n3rLs8v_Z-AmA%3D%3D/download</t>
  </si>
  <si>
    <t>https://ppubs.uspto.gov/pubwebapp/external.html?q=11455576.pn.</t>
  </si>
  <si>
    <t>1. A method for providing an explainable agent for estimating an explainable reward function of a reinforcement learning program and managing a controller according to an estimate of the explainable reward function, comprising:
acquiring, from one or more sensors configured to monitor an external environment, an observed space comprising one or more states and one or more actions, and, with the reinforcement learning program, modeling the observed space as a plurality of explainable state-action pairs;
forming one or more explainable models comprising a simulated environment and a reward function, and integrating at least one of the one or more explainable models with a controller interface associated with the controller;
returning at least one explanation from at least one of the one or more explainable models corresponding to at least one state and at least one reward;
generating an explanation scaffolding;
applying a filter or transform to convert the explanation scaffolding into an interpretation scaffolding; and
identifying, based on the at least one state, at least one state-action pair, and executing at least one action in the external environment via the controller via the controller interface corresponding to the at least one state-action pair, based on the at least one explanation, wherein the at least one state-action pair is maintained as a constant connection point after selecting the at least one state until after the at least one action is performed.</t>
  </si>
  <si>
    <t>Behavioral prediction and boundary settings, control and safety assurance of ml and ai systems</t>
  </si>
  <si>
    <t xml:space="preserve">A method for providing at least one behavioral model including at least one of a desired behavioral model (DBM) and an observed behavioral model (OBM) for an explainable architecture, comprising:
identifying at least one model comprising a plurality of internal coefficients and a plurality of conditional constraints, wherein at least one of the plurality of conditional constraints is defined based on a detected external environment of a system associated with the at least one model;
updating the at least one of the plurality of conditional constraints based on the detected external environment of a system associated with the at least one model;
comparing each of the plurality of internal coefficients to at least one constraint in the plurality of conditional constraints, and determining whether each of the plurality of internal coefficients is less than a predetermined threshold away from the at least one constraint in the plurality of conditional constraints;
identifying a plurality of events from the at least one model, wherein each event in the plurality of events is identified from one or more of the conditional constraints and comparison of the one or more of the conditional constraints to the predetermined threshold;
identifying a plurality of triggers configured to activate a plurality of actions based on an activation of one or more of the plurality of events;
triggering one or more actions based on the identified plurality of events and the plurality of conditional constraints;
triggering one or more feedback actions based on the identified plurality of events and the plurality of conditional constraints; and
outputting a model interpretation of the at least one model, the model interpretation comprising an impact of one or more nodes within the at least one behavioral model.
</t>
  </si>
  <si>
    <t>1. A method for providing at least one behavioral model including at least one of a desired behavioral model (DBM) and an observed behavioral model (OBM) for an explainable architecture, comprising:
identifying at least one model comprising a plurality of internal coefficients and a plurality of conditional constraints, wherein at least one of the plurality of conditional constraints is defined based on a detected external environment of a system associated with the at least one model;
updating the at least one of the plurality of conditional constraints based on the detected external environment of a system associated with the at least one model;
comparing each of the plurality of internal coefficients to at least one constraint in the plurality of conditional constraints, and determining whether each of the plurality of internal coefficients is less than a predetermined threshold away from the at least one constraint in the plurality of conditional constraints;
identifying a plurality of events from the at least one model, wherein each event in the plurality of events is identified from one or more of the conditional constraints and comparison of the one or more of the conditional constraints to the predetermined threshold;
identifying a plurality of triggers configured to activate a plurality of actions based on an activation of one or more of the plurality of events;
triggering one or more actions based on the identified plurality of events and the plurality of conditional constraints;
triggering one or more feedback actions based on the identified plurality of events and the plurality of conditional constraints; and
outputting a model interpretation of the at least one model, the model interpretation comprising an impact of one or more nodes within the at least one behavioral model.
2. The method of claim 1, wherein the method further comprises forming a plurality of behavioral models incorporating an explainable architecture as a separate component, the plurality of behavioral models including at least the desired behavioral model and the observed behavioral model, wherein forming the plurality of behavioral models further comprises:
identifying the desired behavioral model;
forming the observed behavioral model by monitoring one or more sensors, outputting an expected behavioral model based on the desired behavioral model and the observed behavioral model; and
identifying one or more safety assurances or constraints represented as another behavioral model; and
wherein identifying the model comprising the plurality of internal coefficients and a plurality of conditional constraints comprises retrieving the plurality of internal coefficients and the plurality of conditional constraints from at least one of an internal state of the explainable architecture or an output of the explainable architecture.
3. The method of claim 1, wherein the model interpretation comprises at least one of a prediction of an output of a sub-component of the at least one model, a model explanation of the prediction of the output of the sub-component, and a justification of the model explanation.
4. The method of claim 3, wherein the model interpretation includes at least the justification of the model explanation, and wherein the justification comprises data identifying one or more assumptions, processes, and decisions of the at least one model.
5. The method of claim 1, wherein the model interpretation comprises one or more of a basic interpretation, an explanatory interpretation, and a meta-explanatory interpretation.
6. The method of claim 1, wherein one or more of the plurality of events form an event stream pipeline, the event stream pipeline comprising a plurality of events fired from a same sub-component and a terminal action.
7. The method of claim 1, further comprising:
identifying one or more criteria measures based on at least one of model performance, bias reduction, and risk management;
assessing the at least one behavioral model based on the criteria measures using one or more of: game theory, multiple objective optimization, a Pareto front method, particle swarm optimization, a genetic algorithm, Bayesian optimization, an evolutionary strategy, a gradient descent technique, and a Monte Carlo simulation; and
verifying the behavioral model using one or more of: a temporal logic of actions, abstract machine notation, computation tree logic, modal logics, intuitionistic logics, Kripke semantics and/or Alexandrov topologies.
8. The method of claim 1, further comprising identifying at least one causal model, and wherein the plurality of events are identified from the at least one causal model in addition to the at least one model wherein the at least one causal model is configured to implement causal logic and at least one of deductive logic, abductive logic, and inductive logic.
9. The method of claim 1, further comprising receiving event data from a workflow system and outputting processed data to the workflow system.
10. The method of claim 1, wherein the feedback actions are configured to cyclically or acyclically trigger one or more subcomponents of the at least one model to execute a further one or more events from the plurality of events or to update one or more of the internal coefficients or sub-components of the at least one model.
11. The method of claim 1, further comprising processing sequential data comprising one or more of: 2D data, 3D data, one or more multi-dimensional data arrays, transactional data, one or more time series, one or more digitised samples, sensor data, image data, hyper-spectral data, natural language text, video data, audio data, haptic data, LIDAR data, RADAR data, and SONAR data; and
wherein the sequential data comprises one or more associated labels indicating an output value or a classification for a single data point or a continuous or non-continuous interval of data points, and wherein the sequential data is received from an internal and/or external process outputting one or more of synthetic data points, perturbed data, sampled data, or transformed data.
12. The method of claim 1, wherein the conditional constraints are associated with at least one local model, and wherein a global model of the at least one model is provided that comprises a plurality of local models, and wherein the conditional constraints are in a first order logic form, a conjunctive normal form, or a disjunctive normal form.
13. The method of claim 1, wherein the conditional constraints further comprise one or more neuro-symbolic constraints in a form comprising one or more of: symbolic rules or a system of symbolic expressions, polynomial expressions, conditional and non-conditional probability distributions, joint probability distributions, state-space and phase-space transforms, integer/real/complex/quaternion/octonion transforms, Fourier transforms, Walsh functions, Haar and non-Haar wavelets, generalized L2 functions, fractal-based transforms, Hadamard transforms, Type 1 and Type 2 fuzzy logic, topological transforms of Kolmogorov/Frechet/Hausdorff/Tychonoff spaces, and difference analysis.
14. The method of claim 1, wherein the conditional constraints further comprise at least one proximity constraints, wherein each proximity constraints identifies a boundary range of a value representing an internal state of one or more sub-components of the one or more models.
15. The method of claim 14, further comprising transforming a combination of the boundary range, one or more tolerances, and one or more confidence intervals using a transformation function.
16. The method of claim 15, wherein the transformation function comprises one or more of: a feedback loop control method, Nyquist control, Bode plot, fuzzy logic transform, transforms learnt via gradient descent methods, transforms specified via rule systems, first order logic, rotations, dimensional scaling, dimensionless scaling, Fourier transforms, Walsh functions, state-space transforms, phase-space transforms, Haar and non-Haar wavelets, generalized L2 functions, fractal-based transforms, Hadamard transforms, knowledge graph networks, categorical encoding, topological transforms of Kolmogorov/Frechet/Hausdorff/Tychonoff spaces, difference analysis, and causal operators.
17. The method of claim 1, wherein the at least one model is a plurality of models forming a distributed explainable architecture, wherein each model from the distributed explainable architecture operates independently, and an output of the models is aggregated to form an output of the distributed explainable architecture.
18. The method of claim 1, wherein the triggers are configured to link one or more conditions with a historic rate of activations.
19. The method of claim 1, wherein the behavioral model is implemented in at least one of an explainable Machine Learning System, Interpretable Machine Learning System, Explainer, Filter, Interpreter, Explanation Scaffolding, and Interpretation Scaffolding within an Explanation and Interpretation Generation System (EIGS) and/or an Explanation-Filter-Interpretation (EFI) model.
20. The method of claim 1, wherein events further comprise at least one concern event configured to alert a user of a safety concern, and wherein the behavioral model further comprises a supervisory control and data acquisition system comprising a human-machine interface, wherein the behavioral model communicates one or more system issues to a user via the human-machine interface and wherein the human-machine interface is configured to receive a user input.
21. The method of claim 1, wherein one or more sub-components of one or more of the models further comprise a named reference label, each named reference label comprising a descriptive meta-data or a symbolic expression in a first order logic form indicating a path trace, and further comprising forming a behavioral specification comprising a set of initial states and a plurality of execution traces corresponding to the initial states.
22. The method of claim 1, wherein the behavioral model is implemented in a data privacy preserving system, a virtual reality system, an augmented reality system, and/or a metaverse system.
23. The method of claim 1, wherein one or more of the models are implemented on at least one of a digital electronic circuit, analog circuit, a digital-analog hybrid, integrated circuit, application specific integrated circuit (ASIC), field programmable gate array (FPGA), neuromorphic circuit, optical circuit, optical-electronic hybrid, and quantum computing hardware.
24. The method of claim 1, further comprising injecting a human-defined rule into the at least one model, wherein the human-defined rule comprises a fixed modification to one or more of the internal coefficients and verifying the model interpretation against a specification of desired behavior comprising at least one safety assurance.
25. The method of claim 1, further comprising one or more conditional constraints between a behavioral specification of an observed behavioral model and an expected behavioral model, and monitoring for one or more deviations between the expected behavioral model and one or more empirical observations in one or more execution sequences of the observed behavioral model.
26. A system for modeling system behavior, comprising:
at least one behavioral model comprising one or more models, the at least one behavioral model including at least one of a desired behavioral model (DBM) and an observed behavioral model (OBM), each model in the one or more models comprising one or more local models, wherein each local model comprises a plurality of internal coefficients indicating feature attributions of an output of the local models;
a plurality of conditional constraints applied to at least one of the internal coefficients of the local models or the output of the local models, wherein at least one of the plurality of conditional constraints is defined based on a detected internal environment associated with the one or more models, wherein said at least one of the plurality of conditional constraints is further configured to be updated based on a detected external environment associated with the one or more models, and wherein the system is further configured to compare each of the plurality of internal coefficients to at least one constraint in the plurality of conditional constraints and determine whether each of the plurality of internal constraints is less than a predetermined threshold away from the at least one constraint in the plurality of conditional constraints;
a plurality of events identified from an activation of one or more of the conditional constraints and from comparison of the one or more of the conditional constraints to the predetermined threshold;
a plurality of triggers configured to activate a plurality of actions based on an activation of one or more of the plurality of events; and
one or more feedback actions based on the plurality of events and plurality of conditional constraints configured to update the internal coefficients of the local models.
27. The system for modeling system behavior of claim 26, wherein the at least one behavioral model is two or more behavioral models arranged in a behavioral model hierarchy, said behavioral model hierarchy further comprising a plurality of super-states configured to communicate between the two or more behavioral models, said behavioral model hierarchy further comprising a plurality of generalized transitions between the two or more behavioral models, wherein the super-states are configured to prevent one or more redundant transitions, and wherein a basis of the super-states is formed by one or more internal states or outputs of at least one of: the two or more behavioral models or the one or more models.
28. The system for modeling system behavior of claim 26, wherein the at least one behavioral model is configured to predict future operational spaces associated with an operational space not part of an original training space.
29. The system for modeling system behavior of claim 26, further comprising at least one of a graph, hypergraph, and simplicial structure.
30. The system for modeling system behavior of claim 26, wherein the behavioral model comprises a quantum causal behavioral model configured to model quantum decoherence effects and one or more of a qubit state, qubit basis state, mixed states, Ancilla bit, and one or more quantum logic operators, wherein the quantum logic operators comprise one or more of a controlled-NOT, a controlled-swap, an Isling coupling gate, a Pauli gate, a Hadamard gate, or a Toffoli gate, and further comprising identifying one or more quantum annealing effects, wherein one or more of a Shor's algorithm, Quantum Phase estimation algorithm, Grover's algorithm, Quantum Counting, Quantum Hamiltonian NAND trees, or HHL algorithm is applied to one or more conditions, events, and/or triggers of the quantum behavioral model; and
one or more quantum transforms or quantum algorithm configured to predict and refine one or more boundary conditions of the behavioral model.</t>
  </si>
  <si>
    <t>https://patentscout.innography.com/share/zP8-NaBu7qYo5YLF_oYzKw%3D%3D</t>
  </si>
  <si>
    <t>https://patentscout.innography.com/share/zP8-NaBu7qYo5YLF_oYzKw%3D%3D/download</t>
  </si>
  <si>
    <t>https://ppubs.uspto.gov/pubwebapp/external.html?q=11468350.pn.</t>
  </si>
  <si>
    <t>1. A method for providing at least one behavioral model including at least one of a desired behavioral model (DBM) and an observed behavioral model (OBM) for an explainable architecture, comprising:
identifying at least one model comprising a plurality of internal coefficients and a plurality of conditional constraints, wherein at least one of the plurality of conditional constraints is defined based on a detected external environment of a system associated with the at least one model;
updating the at least one of the plurality of conditional constraints based on the detected external environment of a system associated with the at least one model;
comparing each of the plurality of internal coefficients to at least one constraint in the plurality of conditional constraints, and determining whether each of the plurality of internal coefficients is less than a predetermined threshold away from the at least one constraint in the plurality of conditional constraints;
identifying a plurality of events from the at least one model, wherein each event in the plurality of events is identified from one or more of the conditional constraints and comparison of the one or more of the conditional constraints to the predetermined threshold;
identifying a plurality of triggers configured to activate a plurality of actions based on an activation of one or more of the plurality of events;
triggering one or more actions based on the identified plurality of events and the plurality of conditional constraints;
triggering one or more feedback actions based on the identified plurality of events and the plurality of conditional constraints; and
outputting a model interpretation of the at least one model, the model interpretation comprising an impact of one or more nodes within the at least one behavioral model.</t>
  </si>
  <si>
    <t>26. A system for modeling system behavior, comprising:
at least one behavioral model comprising one or more models, the at least one behavioral model including at least one of a desired behavioral model (DBM) and an observed behavioral model (OBM), each model in the one or more models comprising one or more local models, wherein each local model comprises a plurality of internal coefficients indicating feature attributions of an output of the local models;
a plurality of conditional constraints applied to at least one of the internal coefficients of the local models or the output of the local models, wherein at least one of the plurality of conditional constraints is defined based on a detected internal environment associated with the one or more models, wherein said at least one of the plurality of conditional constraints is further configured to be updated based on a detected external environment associated with the one or more models, and wherein the system is further configured to compare each of the plurality of internal coefficients to at least one constraint in the plurality of conditional constraints and determine whether each of the plurality of internal constraints is less than a predetermined threshold away from the at least one constraint in the plurality of conditional constraints;
a plurality of events identified from an activation of one or more of the conditional constraints and from comparison of the one or more of the conditional constraints to the predetermined threshold;
a plurality of triggers configured to activate a plurality of actions based on an activation of one or more of the plurality of events; and
one or more feedback actions based on the plurality of events and plurality of conditional constraints configured to update the internal coefficients of the local models.</t>
  </si>
  <si>
    <t>EP2701099 A1 | US20200125907 A1 | US20200151528 A1 | US20200294634 A1</t>
  </si>
  <si>
    <t>2021-04-07</t>
  </si>
  <si>
    <t>2022-04-07</t>
  </si>
  <si>
    <t>2023-10-07</t>
  </si>
  <si>
    <t>The present invention relates generally to a QR code for an item article or product supplying source identification and product availability confirmation of authenticity details of manufacture retrieval of specific data as well as determination of access wherein all data is related to words or images displayed upon a specific article through a scanner-enabled smartphone and internet connection. Specifically the QR code that is the present invention is directed toward identification authentication and relaying of information describing or expanding upon words or images displayed on an article of clothing or garment items or products wherein a QR code reader smart phone enabled or otherwise may be used to scan said QR code in order to supply the reader with information specific to said article items or products depictions on said article item or product or for event or area admittance.</t>
  </si>
  <si>
    <t>Qr code for information transfer related to an article, item or product</t>
  </si>
  <si>
    <t>Durham, Jaquial</t>
  </si>
  <si>
    <t>US2022071606W</t>
  </si>
  <si>
    <t>1. A dynamically curated QR code and a QR code, internet enabled scanner for retrieving information, identification, monitoring, tracking and inventorying of a specific item, article or product which also accomplishes the following: allows the scanner operator to object hyperlink to a virtual space via a URL directly, via a mobile application conduit to a URL; identifies the source, manufacturer, content and origin of said item, article or product; confirms the identity and authenticity of a particularized item, article or product; links internet-derived information to a specific article or image, logo, design, or artwork of an item, article or product; allows tracking and tracing of an item, article or product; provides the retail supplier of an item, article or product; allows the QR code bearer to enter restricted events or spaces; provides the QR code bearer the ability to make purchases, receive discounts, receive coupons; provides the QR code bearer permission to access early release, advanced copy and exclusive content; and/or allows the QR code bearer to access internet live streaming, video messaging, gaming, metaverse or alternative reality, or musical content and/or services .</t>
  </si>
  <si>
    <t>1. A dynamically curated QR code and a QR code, internet enabled scanner for retrieving information, identification, monitoring, tracking and inventorying of a specific item, article or product which also accomplishes the following: allows the scanner operator to object hyperlink to a virtual space via a URL directly, via a mobile application conduit to a URL; identifies the source, manufacturer, content and origin of said item, article or product; confirms the identity and authenticity of a particularized item, article or product; links internet-derived information to a specific article or image, logo, design, or artwork of an item, article or product; allows tracking and tracing of an item, article or product; provides the retail supplier of an item, article or product; allows the QR code bearer to enter restricted events or spaces; provides the QR code bearer the ability to make purchases, receive discounts, receive coupons; provides the QR code bearer permission to access early release, advanced copy and exclusive content; and/or allows the QR code bearer to access internet live streaming, video messaging, gaming, metaverse or alternative reality, or musical content and/or services .
2. The dynamically curated QR code and a QR code, internet enabled scanner of claim 1 wherein source information may include country of origin, responsible sourcing, facility of manufacture, company of manufacture, group responsible for manufacture, induvial responsible for manufacture, or a combination thereof.
3. The dynamically curated QR code and a QR code, internet enabled scanner of claim 1 wherein internet derived information may be related to an article, item or product evidencing a depiction, text, an illustration or illustrations, a diagram or diagrams, image logo, word, word mark, service mark, a symbol or symbols, trademark or trademarks, artwork, or a combination thereof.
4. The dynamically curated QR code and a QR code, internet enabled scanner of claim 3 wherein said information related depiction, text, an illustration or illustrations, a diagram or diagrams, image logo, word, word mark, service mark, a symbol or symbols, trademark or trademarks, artwork, or a combination thereof, involves branding in the form of marketing, promotional, advertising, legal, sweepstakes, or contest information, signifiers, or other identifying indicia.
5. The dynamically curated QR code and a QR code, internet enabled scanner of claim 4 wherein said QR code has within its “bulls eye”, central region said a depiction, text, an illustration or illustrations, a diagram or diagrams, image logo, word, word mark, service mark, a symbol or symbols, trademark or trademarks, artwork, or a combination thereof.
6. The dynamically curated QR code and a QR code, internet enabled scanner of claim 1 wherein a single QR code may contain requisite information to allow object hyperlink to one to a plurality of mobile applications which may be accessible by different principals and may supply each one different content, different levels of content, different functionalities, and differing capabilities and accesses. 
7. The dynamically curated QR code and a QR code, internet enabled scanner of claim 6 wherein said principals include, but are not limited to, manufacturers, producers, transporters, consumers, retailers, vendors, event coordinators, venues, or a combination thereof .
8. The dynamically curated QR code and QR code, internet enabled scanner of claim 7 wherein said principals may access different information based upon categorization of information and via access to information through credentialling.
9. The dynamically curated QR code and QR code, internet enabled scanner of claim 8 wherein credentialling may be accomplished through a web address or web page URL .
10. A method for conveying identification information, inventory and purchasing information, authenticity information, supplemental information related to images, symbols, logo, words or other identifying indicia through a dynamic QR code and object hyperlink to a URL comprising the steps of: adhering a QR to an article, item or product; displaying upon said article, item or product an image, a dynamic QR code or a combination thereof; scanning said QR code; linking said QR code to the internet, either directly through a link to a URL or indirectly through a mobile phone application; and providing information specific to an article, item or product, information specific to an image, information specific to an image within said QR code, or a combination thereof. 
11. The method for conveying information of claim 10 wherein said article, item or product may have displayed upon said article, item or product a depiction, text, an illustration or illustrations, a diagram or diagrams, image logo, word, word mark, service mark, a symbol or symbols, trademark or trademarks, artwork, a QR code with a “bulls eye” encompassing depiction, text, an illustration or illustrations, a diagram or diagrams, image logo, word, word mark, service mark, a symbol or symbols, trademark or trademarks, artwork, or a combination thereof.
12. The method for conveying information of claim 11 wherein said dynamic QR code may allow for access to an event or venue, access to an area within an event or venue, access to discounts, coupons, exclusive content, merchandise, banking access, verification of attendance, or a combination thereof.
13. The method for conveying information of claim 10 wherein linking may achieved through direct linkage to a social media platform, brand website, entertainer website, or a combination thereof .
14. The method for conveying information of claim 10 wherein said QR code may exhibit non visual forms of identification conveyance which may be magnetic, electromagnetic, radiofrequency, or a combination thereof.
15. The method for conveying information of claim 10 wherein conveyance of information may include details about the wearer in terms of health status, vaccine status, past event attendance
16. The method for conveying information of claim 10 wherein said dynamic QR code may appear within text, video format, or a combination thereof for conveyance of additional information.</t>
  </si>
  <si>
    <t>G06K0019061030</t>
  </si>
  <si>
    <t>G06K0019061030 | G06Q0010087000 | G06Q0030060900 | G06Q0050040000</t>
  </si>
  <si>
    <t>WO2022217261A1</t>
  </si>
  <si>
    <t>WO2022217261 A1</t>
  </si>
  <si>
    <t>I-000230712472</t>
  </si>
  <si>
    <t>30 months from 2021-04-07 (priority date)</t>
  </si>
  <si>
    <t>https://patentscout.innography.com/share/7qGPE1GLQRs6IJR9rWa2Aw%3D%3D</t>
  </si>
  <si>
    <t>2022-11-23-EP: THE EPO HAS BEEN INFORMED BY WIPO THAT EP WAS DESIGNATED IN THIS APPLICATION</t>
  </si>
  <si>
    <t>https://patentscout.innography.com/share/7qGPE1GLQRs6IJR9rWa2Aw%3D%3D/download</t>
  </si>
  <si>
    <t>https://v3.espacenet.com/publicationDetails/biblio?CC=WO&amp;NR=2022217261A1&amp;KC=A1&amp;FT=D&amp;date=20221013&amp;DB=EPODOC&amp;locale=</t>
  </si>
  <si>
    <t>Kearney McWilliams &amp; Davis PLLC</t>
  </si>
  <si>
    <t>1.  Claims:</t>
  </si>
  <si>
    <t>2.  1.  A dynamically curated QR code and a QR code, internet enabled scanner for retrieving information, identification, monitoring, tracking and inventorying of a specific item, article or product which also accomplishes the following: allows the scanner operator to object hyperlink to a virtual space via a URL directly, via a mobile application conduit to a URL; identifies the source, manufacturer, content and origin of said item, article or product; confirms the identity and authenticity of a particularized item, article or product; links internet-derived information to a specific article or image, logo, design, or artwork of an item, article or product; allows tracking and tracing of an item, article or product; provides the retail supplier of an item, article or product; allows the QR code bearer to enter restricted events or spaces; provides the QR code bearer the ability to make purchases, receive discounts, receive coupons; provides the QR code bearer permission to access early release, advanced copy and exclusive content; and/or allows the QR code bearer to access internet live streaming, video messaging, gaming, metaverse or alternative reality, or musical content and/or services .</t>
  </si>
  <si>
    <t>11.  10.  A method for conveying identification information, inventory and purchasing information, authenticity information, supplemental information related to images, symbols, logo, words or other identifying indicia through a dynamic QR code and object hyperlink to a URL comprising the steps of: adhering a QR to an article, item or product; displaying upon said article, item or product an image, a dynamic QR code or a combination thereof; scanning said QR code; linking said QR code to the internet, either directly through a link to a URL or indirectly through a mobile phone application; and providing information specific to an article, item or product, information specific to an image, information specific to an image within said QR code, or a combination thereof.</t>
  </si>
  <si>
    <t>2022-10-14</t>
  </si>
  <si>
    <t>2042-07-07</t>
  </si>
  <si>
    <t>The invention claims an adjustable sensor based on universe belonging to the technical field of sensor. The adjustable sensor based on universe comprises a main body mechanism the main body mechanism comprises an isolation box the bottom of the isolation box is provided with a sensor main body the bottom of the sensor main body is provided with a signal detector the inner wall of the sensor main body is provided with a signal processor matched with the signal detector for use . The invention is provided with a radiating mechanism when the sensor main body generates heat the heat is transmitted to the inner cavity of the guide shell the heat is transmitted to the liquid storage bag through the guide shell so that the mercury in the liquid storage bag is heated and expanded so that the baffle moves to the outer side so as to drive the movable plate to move so that the outside air enters the inner cavity of the isolation box through the air inlet pipe so as to reach the effect of radiating the sensor main body increasing the service life of the sensor main body.</t>
  </si>
  <si>
    <t>An adjustable sensor based on universe</t>
  </si>
  <si>
    <t>Shenzhen Yuanda High-new Technology Group Co., Ltd.</t>
  </si>
  <si>
    <t>SHENZHEN YUANDA HIGH-NEW TECHNOLOGY GROUP CO., LTD.</t>
  </si>
  <si>
    <t>CN202210803306A</t>
  </si>
  <si>
    <t>1. An adjustable sensor based on universe, wherein it comprises a main body mechanism (100), the main body mechanism (100) comprises an isolation box (101), the bottom of the isolation box (101) is provided with a sensor main body (102), the bottom of the sensor main body (102) is provided with a signal detector (103), the inner wall of the sensor main body (102) is provided with a signal processor (104) matched with the signal detector (103), a radiating mechanism (200), the radiating mechanism (200) is set in the inner cavity of the isolation box (101), the radiating mechanism (200) comprises several radiating fins (201), the radiating fin (201) is set on the surface of the sensor main body (102), the inner wall of the isolation box (101) is provided with an isolation plate (202), between the isolation plate (202) and the isolation box (101) is provided with a movable plate (203); an adjusting mechanism (300), the adjusting mechanism (300) is set on one side of the isolation box (101).</t>
  </si>
  <si>
    <t>1. An adjustable sensor based on universe, wherein it comprises a main body mechanism (100), the main body mechanism (100) comprises an isolation box (101), the bottom of the isolation box (101) is provided with a sensor main body (102), the bottom of the sensor main body (102) is provided with a signal detector (103), the inner wall of the sensor main body (102) is provided with a signal processor (104) matched with the signal detector (103), a radiating mechanism (200), the radiating mechanism (200) is set in the inner cavity of the isolation box (101), the radiating mechanism (200) comprises several radiating fins (201), the radiating fin (201) is set on the surface of the sensor main body (102), the inner wall of the isolation box (101) is provided with an isolation plate (202), between the isolation plate (202) and the isolation box (101) is provided with a movable plate (203); an adjusting mechanism (300), the adjusting mechanism (300) is set on one side of the isolation box (101).2. The adjustable sensor based on universe according to claim 1, wherein one side of the isolation box (101) is provided with a baffle plate (204), the inner cavity of the isolation box (101) is provided with a guide shell (205). the surface of one of the guide shell (205) is set on the inner wall of the isolation plate (202), the inner cavity of the guide shell (205) is provided with a liquid storage bag (206), the inner cavity of the liquid storage bag (206) is filled with mercury, the inner cavity of the guide shell (205) is provided with a moving plate (207), one side of the moving plate (207) is provided with a connecting rod (208), one end of the connecting rod (208) is set on one side of the baffle plate (204), one side of the moving plate (207) is provided with a fixing rod (209), one end of the fixing rod (209) is set on one side of the movable plate (203).3. The adjustable sensor based on universe according to claim 1, wherein the adjusting mechanism (300) comprises a mounting plate (301), the mounting plate (301) is set on one side of the isolation box (101), one side of the mounting plate (301) is provided with a sliding groove (302), the inner cavity of the sliding groove (302) is provided with a sliding block (303), one side of the sliding block (303) is set on one side of the isolating box (101).4. The adjustable sensor based on universe according to claim 3, wherein one side of the mounting plate (301) is provided with a rotating shaft (304), and one end of the rotating shaft (304) is provided with a connecting plate (305).5. The adjustable sensor based on metaverse according to claim 4, wherein one side of the mounting plate (301) is provided with a locating rod (210), one side of the connecting plate (305) is provided with multiple locating grooves (306) matched with the locating rod (210).6. The adjustable sensor based on universe according to claim 5, wherein several said locating grooves (306) are arranged in circular shape.7. The adjustable sensor based on universe according to claim 1, wherein the bottom of the isolating plate (202) is provided with an air inlet pipe (211), and the inner wall of the air inlet pipe (211) is provided with a filter screen (212).8. The adjustable sensor based on universe according to claim 3, wherein the inner cavity of the sliding groove (302) is provided with screw thread rod (307), one end screw thread the rod (307) passes through to top part plate (301). the top part block (303) is provided with a screw thread groove (308) matched with the screw thread rod (307).9. The adjustable sensor based on universe according to claim 2, wherein the surface of the connecting rod (208) is provided with a tension spring (213), one end of the tension spring (213) is set on one side of the guide shell (205), the other end of the tension spring (213) is set on one side of the moving plate (207).10. The adjustable sensor based on universe according to claim 2, wherein the material of the guide shell (205) is copper.</t>
  </si>
  <si>
    <t>Xing, Jicheng|Xing, Peiming</t>
  </si>
  <si>
    <t>G01D0021000000</t>
  </si>
  <si>
    <t>G01D02100000</t>
  </si>
  <si>
    <t>G01D02100000 | G01D01100000 | G01D01130000</t>
  </si>
  <si>
    <t>033612000</t>
  </si>
  <si>
    <t>CN115183806A</t>
  </si>
  <si>
    <t>CN115183806 A</t>
  </si>
  <si>
    <t>I-000230895729</t>
  </si>
  <si>
    <t>20 years from 2022-07-07 (file date)</t>
  </si>
  <si>
    <t>https://patentscout.innography.com/share/QSRn4qUINq2X9KLtqIS17A%3D%3D</t>
  </si>
  <si>
    <t>2022-10-14-PUBLICATION|2022-11-01-ENTRY INTO FORCE OF REQUEST FOR SUBSTANTIVE EXAMINATION</t>
  </si>
  <si>
    <t>https://patentscout.innography.com/share/QSRn4qUINq2X9KLtqIS17A%3D%3D/download</t>
  </si>
  <si>
    <t>https://v3.espacenet.com/publicationDetails/biblio?CC=CN&amp;NR=115183806A&amp;KC=A&amp;FT=D&amp;date=20221014&amp;DB=EPODOC&amp;locale=</t>
  </si>
  <si>
    <t>1.  1.  An adjustable sensor based on universe, wherein it comprises a main body mechanism (100 ), the main body mechanism (100 ) comprises an isolation box (101 ), the bottom of the isolation box (101 ) is provided with a sensor main body (102 ), the bottom of the sensor main body (102 ) is provided with a signal detector (103 ), the inner wall of the sensor main body (102 ) is provided with a signal processor (104 ) matched with the signal detector (103 ), a radiating mechanism (200 ), the radiating mechanism (200 ) is set in the inner cavity of the isolation box (101 ), the radiating mechanism (200 ) comprises several radiating fins (201 ), the radiating fin (201 ) is set on the surface of the sensor main body (102 ), the inner wall of the isolation box (101 ) is provided with an isolation plate (202 ), between the isolation plate (202 ) and the isolation box (101 ) is provided with a movable plate (203 ); an adjusting mechanism (300 ), the adjusting mechanism (300 ) is set on one side of the isolation box (101 ).</t>
  </si>
  <si>
    <t>2022-10-20</t>
  </si>
  <si>
    <t>2021-04-14</t>
  </si>
  <si>
    <t>2022-04-13</t>
  </si>
  <si>
    <t>2042-04-13</t>
  </si>
  <si>
    <t>In one aspect a dermal patch is disclosed which comprises at least a pair of sensing units each configured for detecting at least one analyte in a physiological sample at least one microneedle configured for puncturing the skin to allow collection of the physiological sample and a selector device for selecting any one of said sensing units for receiving at least a portion of said collected physiological sample for analysis thereof.</t>
  </si>
  <si>
    <t>Self-contained dermal patch for detection of physiological analytes</t>
  </si>
  <si>
    <t>US17/719881</t>
  </si>
  <si>
    <t xml:space="preserve">A dermal patch, comprising:
at least a pair of sensing units each configured for detecting at least one analyte in a physiological sample,
at least one microneedle configured for puncturing the skin to allow collection of the physiological sample, and
a selector device for selecting any one of said sensing units for receiving at least a portion of said collected physiological sample for analysis thereof.
</t>
  </si>
  <si>
    <t>1. A dermal patch, comprising:
at least a pair of sensing units each configured for detecting at least one analyte in a physiological sample,
at least one microneedle configured for puncturing the skin to allow collection of the physiological sample, and
a selector device for selecting any one of said sensing units for receiving at least a portion of said collected physiological sample for analysis thereof.
2. The dermal patch of claim 1, wherein said selector device comprises at least one visual indicator for allowing a user to select one of said sensing units.
3. The dermal patch of claim 2, wherein said visual indicator comprises a selector dial.
4. The dermal patch of claim 1, further comprising a plurality of reservoirs for storing one or more reagents for processing the physiological sample to generate a processed sample, wherein each of said reservoirs is associated with one of said sensing units.
5. The dermal patch of claim 4, wherein said one or more processing reagents are suitable for isothermal amplification of said analyte.
6. The dermal patch of claim 5, wherein each of the sensing units comprises a sample collection chamber for receiving at least a portion of said physiological sample in response to selection of said sensing unit by said selector device.
7. The dermal patch of claim 6, wherein said sample collection chamber has a volume equal to or less than about 2 milliliters.
8. The dermal patch of claim 6, wherein said sample collection chamber has a volume equal to or less than about 1 milliliter.
9. The dermal patch of claim 6, wherein said sample collection chamber has a volume in a range of about 10 microliters to about 1 milliliter.
10. The dermal patch of claim 6, further comprising at least one fluid channel having an inlet configured to receive the physiological sample through the punctured skin and an outlet through which the received sample can be introduced into a sample collection chamber of a selected one of said sensing units.
11. The dermal patch of claim 10, further comprising a switch for selectively coupling said outlet to one of said sample collection chambers.
12. The dermal patch of claim 11, further comprising a controller in communication with the switch for activating the switch in accordance with a predefined temporal schedule to collect multiple physiological samples at different times.
13. The dermal patch of claim 12, wherein said switch comprises a plurality of internal channels, wherein in one position of the switch one of said internal channels directs the received physiological sample into one of the sample collection chambers and in another position of the switch another one of said internal channels directs the received physiological sample into another one of the sample collection chambers.
14. The dermal patch of claim 12, further comprising a fluid transfer channel coupled to the selector device for establishing a fluid path between a selected sensing unit and a reservoir associated therewith.
15. The dermal patch of claim 14, wherein each of said reservoir and a respective sample collection chamber are positioned relative to one another such that gravity can facilitate transfer of said one or more processing reagents from the reservoir to the sample collection chamber.
16. The dermal patch of claim 11, wherein said switch comprises an electromechanical switch.
17. The dermal patch of claim 11, wherein said switch comprises a mechanical switch.
18. The dermal patch of claim 6, further comprising one or more magnetic beads stored in at least one of said sample collection chambers, wherein said magnetic beads can be activated via an external magnet for cause mixing of the physiological sample and the one or more processing reagents introduced into said at least one sample collection chamber.
19. The dermal patch of claim 6, wherein each of said sensing units further comprises a sensor in fluid communication with the sample collection chamber thereof for receiving at least a portion of said processed sample and to generate one or more detection signals in response to detection of said analyte.
20. The dermal patch of claim 19, wherein each of the sample collection chambers comprises an opening for providing fluid communication between the sample collection chamber and a respective sensor.
21. The dermal patch of claim 6, wherein each of said sample collection chambers is formed at least partially of a flexible material such that a volume thereof changes in response to introduction of any of the physiological sample and said one or more processing reagents therein.
22. The dermal patch of claim 19, further comprising circuitry in communication with said sensors for receiving said one or more detection signals and processing said signals to quantify a concentration of detected analyte in the sample.
23. The dermal patch of claim 19, wherein at least one of said sensors comprises a graphene-based sensor.
24. The dermal patch of claim 19, wherein at least one of said sensors comprises an electrochemical sensor.
25. The dermal patch of claim 19, wherein at least one of said sensors comprises a colorimetric sensor.
26. The dermal patch of claim 25, wherein said colorimetric sensor employs an immunoassay for detection of said analyte.
27. The dermal patch of claim 25, wherein said dermal patch comprises a transparent window to allow visualization of said colorimetric sensor.
28. The dermal patch of claim 22, wherein said circuitry comprises at least one memory module for storing said detection signals.
29. The dermal patch of claim 28, wherein said circuitry is configured to process the stored detection signals generated by different sensing units to determine a variation, if any, of said analyte level at discrete time intervals associated with activation of said sensing units.
30. The dermal patch of claim 22, wherein said circuitry comprises a communication module for communicating with an electronic device.
31. The dermal patch of claim 30, wherein said communication module is configured to provide wireless communication between the patch and the electronic device.
32. The dermal patch of claim 31, wherein said communication module employs a wireless communication protocol selected from any of Bluetooth, Wi-Fi, and BTLE protocol for establishing a communication link between said patch and said electronic device.
33. The dermal patch of claim 30, wherein said electronic device is a mobile device.
34. The dermal patch of claim 1, wherein said physiological sample comprises any of blood and interstitial fluid.
35. The dermal patch of claim 1, wherein said analyte comprises a biomarker.
36. The dermal patch of claim 35, wherein said biomarker is indicative of a diseased condition.
37. The dermal patch of claim 35, wherein said analyte comprises a biomarker indicative of organ damage.
38. The dermal patch of claim 35, wherein said analyte comprises at least one biomarker indicative of traumatic brain injury.
39. The dermal patch of claim 35, wherein said at least one biomarker comprises any of myelin basic protein (MBP), ubiquitin carboxyl-terminal hydrolase isoenzyme L1 (UCHL-1), neuron-specific enolase (NSE), glial fibrillary acidic protein (GFAP), and S100-B.
40. The dermal patch of claim 35, wherein said biomarker comprises any of troponin, BNP, and HbA1C.
41. The dermal patch of claim 1, wherein said selector device comprises a mechanical selection element.
42. The dermal patch of claim 1, wherein said selector device comprises an electromechanical selection element.
43. The dermal patch of claim 1, wherein said selector device comprises an electromagnetic selection element.
44. The dermal patch of claim 1, wherein said sensing units are configured to detect the same analyte in the sample.
45. The dermal patch of claim 1, wherein said sensing units are configured to detect different analytes in the sample.
46. The dermal patch of claim 1, wherein said at least a pair of sensing units comprises more than three sensing units.
47. The dermal patch of claim 1, wherein said at least one microneedle comprises a plurality of microneedles.
48. The dermal patch of claim 1, wherein said at least one microneedle is movable between a retracted position and a deployed position, wherein said at least one microneedle is capable of puncturing the skin in said deployed position.
49. The dermal patch of claim 48, further comprising an actuation mechanism operably coupled to the selector device for moving said at least one microneedle from said retracted position to said deployed position upon selection of any one of said sensing units via said selector device.
50. The dermal patch of claim 1, wherein said at least one microneedle comprises a plurality of microneedles.
51. The dermal patch of claim 1, wherein said microneedles has a length in a range of about 100 microns to about 1500 microns.
52. The dermal patch of claim 1, further comprising a mechanism for generating a negative pressure within said fluid channel to facilitate introduction of said physiological sample into said fluid channel.
53. The dermal patch of claim 1, wherein said mechanism comprises a pump.
54. The dermal patch of claim 1, further comprising an adhesive layer for attaching the dermal patch of the skin surface.
55. A dermal patch, comprising:
at least two sample collection chambers, each configured for receiving a physiological sample collected from a subject,
at least one reservoir for storing one or more processing reagents for processing the physiological sample so as to provide a processed sample
at least two detection units each operably coupled to one of said sample collection chambers for detecting a target analyte, when present in the collected sample.
56. The dermal patch of claim 55, further comprising a selector device for selecting any of said sample collection chambers for receiving the physiological sample.
57. The dermal patch of claim 55, further comprising one or more microneedles configured for puncturing the subject's skin.
58. A dermal patch comprising:
at least a pair of sensing units each configured for detecting at least one analyte in a physiological sample,
at least one microneedle configured for puncturing the skin to allow collection of the physiological sample, and
a quick response code associated with an electronic medical record.
59. A dermal patch comprising
at least a pair of sensing units each configured for detecting at least one analyte in a physiological sample,
at least one microneedle configured for puncturing the skin to allow collection of the physiological sample, and
computer system configured to connect to a metaverse.</t>
  </si>
  <si>
    <t>Nawana, Namal</t>
  </si>
  <si>
    <t>A61B0005683300</t>
  </si>
  <si>
    <t>A61B0005683300 | A61B0005150969 | A61B0005002000 | A61B0005002200 | A61B0005145140 | A61B0005145320 | A61B0005145460 | A61B0005145900 | A61B0005146800 | A61B0005406400 | A61B0005685000 | A61B0005742000 | A61B0005747500 | A61B2505010000 | A61B2505070000 | A61B2562080000 | A61B2562164000 | A61B0005150984 | A61B0005743500 | A61B0005746000</t>
  </si>
  <si>
    <t>A61B00515000</t>
  </si>
  <si>
    <t>A61B00515000 | A61B00500000 | A61B00514500</t>
  </si>
  <si>
    <t>US20220330861A1|WO2022221403A1</t>
  </si>
  <si>
    <t>US11452474 B1 | US20220330861 A1 | WO2022221403 A1 | US20220369957 A1 | WO2022245941 A2 | US20220330860 A1</t>
  </si>
  <si>
    <t>I-000230943461</t>
  </si>
  <si>
    <t>20 years from 2022-04-13 (file date)</t>
  </si>
  <si>
    <t>https://patentscout.innography.com/share/xZQCaoeY4bq9E0Ce2vhe0w%3D%3D</t>
  </si>
  <si>
    <t>2022-05-25-INFORMATION ON STATUS: PATENT APPLICATION AND GRANTING PROCEDURE IN GENERAL|2022-09-14-ASSIGNMENT (SATIO, INC.)</t>
  </si>
  <si>
    <t>https://patentscout.innography.com/share/xZQCaoeY4bq9E0Ce2vhe0w%3D%3D/download</t>
  </si>
  <si>
    <t>https://ppubs.uspto.gov/pubwebapp/external.html?q=20220330861.pn.</t>
  </si>
  <si>
    <t>US20220330861 A1</t>
  </si>
  <si>
    <t>US11452474 B1</t>
  </si>
  <si>
    <t>1. A dermal patch, comprising:
at least a pair of sensing units each configured for detecting at least one analyte in a physiological sample,
at least one microneedle configured for puncturing the skin to allow collection of the physiological sample, and
a selector device for selecting any one of said sensing units for receiving at least a portion of said collected physiological sample for analysis thereof.</t>
  </si>
  <si>
    <t>55. A dermal patch, comprising:
at least two sample collection chambers, each configured for receiving a physiological sample collected from a subject,
at least one reservoir for storing one or more processing reagents for processing the physiological sample so as to provide a processed sample
at least two detection units each operably coupled to one of said sample collection chambers for detecting a target analyte, when present in the collected sample.</t>
  </si>
  <si>
    <t>58. A dermal patch comprising:
at least a pair of sensing units each configured for detecting at least one analyte in a physiological sample,
at least one microneedle configured for puncturing the skin to allow collection of the physiological sample, and
a quick response code associated with an electronic medical record.</t>
  </si>
  <si>
    <t>59. A dermal patch comprising
at least a pair of sensing units each configured for detecting at least one analyte in a physiological sample,
at least one microneedle configured for puncturing the skin to allow collection of the physiological sample, and
computer system configured to connect to a metaverse.</t>
  </si>
  <si>
    <t>EP1769735 B1 | US9664674 B2 | US10401352 B2 | US10782285 B2 | US20060068490 A1 | US20120277697 A1 | US20170014822 A1 | US20200011860 A1 | US20210102937 A1 | WO2015072924 A1 | WO2019067567 A1</t>
  </si>
  <si>
    <t>2023-10-14</t>
  </si>
  <si>
    <t>US2022024607W</t>
  </si>
  <si>
    <t>1. A dermal patch, comprising: at least a pair of sensing units each configured for detecting at least one analyte in a physiological sample, at least one microneedle configured for puncturing the skin to allow collection of the physiological sample, and a selector device for selecting any one of said sensing units for receiving at least a portion of said collected physiological sample for analysis thereof.</t>
  </si>
  <si>
    <t>1. A dermal patch, comprising: at least a pair of sensing units each configured for detecting at least one analyte in a physiological sample, at least one microneedle configured for puncturing the skin to allow collection of the physiological sample, and a selector device for selecting any one of said sensing units for receiving at least a portion of said collected physiological sample for analysis thereof.
2. The dermal patch of Claim 1 , wherein said selector device comprises at least one visual indicator for allowing a user to select one of said sensing units.
3. The dermal patch of Claim 2, wherein said visual indicator comprises a selector dial.
4. The dermal patch of Claim 1 , further comprising a plurality of reservoirs for storing one or more reagents for processing the physiological sample to generate a processed sample, wherein each of said reservoirs is associated with one of said sensing units.
5. The dermal patch of Claim 4, wherein said one or more processing reagents are suitable for isothermal amplification of said analyte.
6. The dermal patch of Claim 5, wherein each of the sensing units comprises a sample collection chamber for receiving at least a portion of said physiological sample in response to selection of said sensing unit by said selector device.
7. The dermal patch of Claim 6, wherein said sample collection chamber has a volume equal to or less than about 2 milliliters.
8. The dermal patch of Claim 6, wherein said sample collection chamber has a volume equal to or less than about 1 milliliter. 
9. The dermal patch of Claim 6, wherein said sample collection chamber has a volume in a range of about 10 microliters to about 1 milliliter.
10. The dermal patch of Claim 6, further comprising at least one fluid channel having an inlet configured to receive the physiological sample through the punctured skin and an outlet through which the received sample can be introduced into a sample collection chamber of a selected one of said sensing units.
11. The dermal patch of Claim 10, further comprising a switch for selectively coupling said outlet to one of said sample collection chambers.
12. The dermal patch of Claim 11, further comprising a controller in communication with the switch for activating the switch in accordance with a predefined temporal schedule to collect multiple physiological samples at different times.
13. The dermal patch of Claim 12, wherein said switch comprises a plurality of internal channels, wherein in one position of the switch one of said internal channels directs the received physiological sample into one of the sample collection chambers and in another position of the switch another one of said internal channels directs the received physiological sample into another one of the sample collection chambers.
14. The dermal patch of Claim 12, further comprising a fluid transfer channel coupled to the selector device for establishing a fluid path between a selected sensing unit and a reservoir associated therewith.
15. The dermal patch of Claim 14, wherein each of said reservoir and a respective sample collection chamber are positioned relative to one another such that gravity can facilitate transfer of said one or more processing reagents from the reservoir to the sample collection chamber.
16. The dermal patch of Claim 11, wherein said switch comprises an electromechanical switch.
17. The dermal patch of Claim 11, wherein said switch comprises a mechanical switch. 
18. The dermal patch of Claim 6, further comprising one or more magnetic beads stored in at least one of said sample collection chambers, wherein said magnetic beads can be activated via an external magnet for cause mixing of the physiological sample and the one or more processing reagents introduced into said at least one sample collection chamber.
19. The dermal patch of Claim 6, wherein each of said sensing units further comprises a sensor in fluid communication with the sample collection chamber thereof for receiving at least a portion of said processed sample and to generate one or more detection signals in response to detection of said analyte.
20. The dermal patch of Claim 19, wherein each of the sample collection chambers comprises an opening for providing fluid communication between the sample collection chamber and a respective sensor.
21. The dermal patch of Claim 6, wherein each of said sample collection chambers is formed at least partially of a flexible material such that a volume thereof changes in response to introduction of any of the physiological sample and said one or more processing reagents therein.
22. The dermal patch of Claim 19, further comprising circuitry in communication with said sensors for receiving said one or more detection signals and processing said signals to quantify a concentration of detected analyte in the sample.
23. The dermal patch of Claim 19, wherein at least one of said sensors comprises a graphene-based sensor.
24. The dermal patch of Claim 19, wherein at least one of said sensors comprises an electrochemical sensor.
25. The dermal patch of Claim 19, wherein at least one of said sensors comprises a colorimetric sensor. 
26. The dermal patch of Claim 25, wherein said colorimetric sensor employs an immunoassay for detection of said analyte.
27. The dermal patch of Claim 25, wherein said dermal patch comprises a transparent window to allow visualization of said colorimetric sensor.
28. The dermal patch of Claim 22, wherein said circuitry comprises at least one memory module for storing said detection signals.
29. The dermal patch of Claim 28, wherein said circuitry is configured to process the stored detection signals generated by different sensing units to determine a variation, if any, of said analyte level at discrete time intervals associated with activation of said sensing units.
30. The dermal patch of Claim 22, wherein said circuitry comprises a communication module for communicating with an electronic device.
31. The dermal patch of Claim 30, wherein said communication module is configured to provide wireless communication between the patch and the electronic device.
32. The dermal patch of Claim 31, wherein said communication module employs a wireless communication protocol selected from any of Bluetooth, Wi-Fi, and BTLE protocol for establishing a communication link between said patch and said electronic device.
33. The dermal patch of Claim 30, wherein said electronic device is a mobile device.
34. The dermal patch of Claim 1, wherein said physiological sample comprises any of blood and interstitial fluid.
35. The dermal patch of Claim 1, wherein said analyte comprises a biomarker.
36. The dermal patch of Claim 35, wherein said biomarker is indicative of a diseased condition. 
37. The dermal patch of Claim 35, wherein said analyte comprises a biomarker indicative of organ damage.
38. The dermal patch of Claim 35, wherein said analyte comprises at least one biomarker indicative of traumatic brain injury.
39. The dermal patch of Claim 35, wherein said at least one biomarker comprises any of myelin basic protein (MBP), ubiquitin carboxyl-terminal hydrolase isoenzyme LI (UCHL-1), neuron-specific enolase (NSE), glial fibrillary acidic protein (GFAP), and S100-B.
40. The dermal patch of Claim 35, wherein said biomarker comprises any of troponin, BNP, and HbAlC.
41. The dermal patch of Claim 1, wherein said selector device comprises a mechanical selection element.
42. The dermal patch of Claim 1 , wherein said selector device comprises an electromechanical selection element.
43. The dermal patch of Claim 1, wherein said selector device comprises an electromagnetic selection element.
44. The dermal patch of Claim 1 , wherein said sensing units are configured to detect the same analyte in the sample.
45. The dermal patch of Claim 1, wherein said sensing units are configured to detect different analytes in the sample.
46. The dermal patch of Claim 1 , wherein said at least a pair of sensing units comprises more than three sensing units.
47. The dermal patch of Claim 1, wherein said at least one microneedle comprises a plurality of microneedles. 
48. The dermal patch of Claim 1, wherein said at least one microneedle is movable between a retracted position and a deployed position, wherein said at least one microneedle is capable of puncturing the skin in said deployed position.
49. The dermal patch of Claim 48, further comprising an actuation mechanism operably coupled to the selector device for moving said at least one microneedle from said retracted position to said deployed position upon selection of any one of said sensing units via said selector device.
50. The dermal patch of Claim 1, wherein said at least one microneedle comprises a plurality of microneedles.
51. The dermal patch of Claim 1, wherein said microneedles has a length in a range of about 100 microns to about 1500 microns.
52. The dermal patch of Claim 1, further comprising a mechanism for generating a negative pressure within said fluid channel to facilitate introduction of said physiological sample into said fluid channel.
53. The dermal patch of Claim 1, wherein said mechanism comprises a pump.
54. The dermal patch of Claim 1, further comprising an adhesive layer for attaching the dermal patch of the skin surface.
55. A dermal patch, comprising: at least two sample collection chambers, each configured for receiving a physiological sample collected from a subject, at least one reservoir for storing one or more processing reagents for processing the physiological sample so as to provide a processed sample at least two detection units each operably coupled to one of said sample collection chambers for detecting a target analyte, when present in the collected sample.
56. The dermal patch of Claim 55, further comprising a selector device for selecting any of said sample collection chambers for receiving the physiological sample. 
57. The dermal patch of Claim 55, further comprising one or more microneedles configured for puncturing the subject’s skin.
58. A dermal patch comprising: at least a pair of sensing units each configured for detecting at least one analyte in a physiological sample, at least one microneedle configured for puncturing the skin to allow collection of the physiological sample, and a quick response code associated with an electronic medical record.
59. A dermal patch comprising at least a pair of sensing units each configured for detecting at least one analyte in a physiological sample, at least one microneedle configured for puncturing the skin to allow collection of the physiological sample, and computer system configured to connect to a metaverse.</t>
  </si>
  <si>
    <t>A61B00500000 | A61B00514500 | A61B00514590 | A61B00514680</t>
  </si>
  <si>
    <t>I-000230974219</t>
  </si>
  <si>
    <t>30 months from 2021-04-14 (priority date)</t>
  </si>
  <si>
    <t>https://patentscout.innography.com/share/tNePi-weDiyvYaW6WW-6bQ%3D%3D</t>
  </si>
  <si>
    <t>2022-11-30-EP: THE EPO HAS BEEN INFORMED BY WIPO THAT EP WAS DESIGNATED IN THIS APPLICATION</t>
  </si>
  <si>
    <t>https://patentscout.innography.com/share/tNePi-weDiyvYaW6WW-6bQ%3D%3D/download</t>
  </si>
  <si>
    <t>https://v3.espacenet.com/publicationDetails/biblio?CC=WO&amp;NR=2022221403A1&amp;KC=A1&amp;FT=D&amp;date=20221020&amp;DB=EPODOC&amp;locale=</t>
  </si>
  <si>
    <t>WO2022221403 A1</t>
  </si>
  <si>
    <t>Potomac Law Group, PLLC</t>
  </si>
  <si>
    <t>1.  What is claimed is:</t>
  </si>
  <si>
    <t>2.  1.  A dermal patch, comprising: at least a pair of sensing units each configured for detecting at least one analyte in a physiological sample, at least one microneedle configured for puncturing the skin to allow collection of the physiological sample, and a selector device for selecting any one of said sensing units for receiving at least a portion of said collected physiological sample for analysis thereof.</t>
  </si>
  <si>
    <t>56.  55.  A dermal patch, comprising: at least two sample collection chambers, each configured for receiving a physiological sample collected from a subject, at least one reservoir for storing one or more processing reagents for processing the physiological sample so as to provide a processed sample at least two detection units each operably coupled to one of said sample collection chambers for detecting a target analyte, when present in the collected sample.</t>
  </si>
  <si>
    <t>59.  58.  A dermal patch comprising: at least a pair of sensing units each configured for detecting at least one analyte in a physiological sample, at least one microneedle configured for puncturing the skin to allow collection of the physiological sample, and a quick response code associated with an electronic medical record.</t>
  </si>
  <si>
    <t>60.  59.  A dermal patch comprising at least a pair of sensing units each configured for detecting at least one analyte in a physiological sample, at least one microneedle configured for puncturing the skin to allow collection of the physiological sample, and computer system configured to connect to a metaverse.</t>
  </si>
  <si>
    <t>2021-05-03</t>
  </si>
  <si>
    <t>2041-05-03</t>
  </si>
  <si>
    <t>Disclosed are a method and apparatus for collecting coordinates for driving AR using a location-based game. This embodiment is a method of generating location-based coordinates and movement paths based on the behavior data of users participating in the game by applying the real space in which the player participates as a metaverse converting it to digital arranging virtual objects and the like. to be. While playing a game at a designated location separate coordinate data is collected based on data collected through a sensor provided in the terminal according to the movement path of the player and various movement routes are generated using the coordinate data. The purpose is to provide a method and device for collecting location-based coordinates by utilizing user behavior data generated in game situations in digital space.</t>
  </si>
  <si>
    <t>Method and apparatus for collecting ar coordinate by using location based game</t>
  </si>
  <si>
    <t>Widebrain Inc.</t>
  </si>
  <si>
    <t>WIDEBRAIN INC.</t>
  </si>
  <si>
    <t>KR20210057197A</t>
  </si>
  <si>
    <t>an input unit for receiving specific region information from a player;a target output unit for retrieving location-based map data corresponding to the specific area information and outputting a starting point and a location of a target within the location-based map data;Obtaining image and behavior data captured from a camera provided in the player terminal, extracting a feature point by analyzing the image and the behavior data, and virtual spatial coordinates of a point coincident with the feature point on the location-based map data a location-based positioning unit that recognizes as the current location of the player terminal and maps the current location to the location-based map data;a movement path calculating unit for recognizing a change in position according to a change in movement of the player terminal and calculating a movement path from the starting point to the target when the player terminal arrives at the starting point;a location-based navigation unit for providing location-based navigation for the movement route to the player terminal by combining the movement route with the image captured by the player terminal; and a coordinate collection unit configured to collect coordinate data from the player terminal when it is determined that the player terminal deviates from the movement path based on a change in the position of the player terminal.</t>
  </si>
  <si>
    <t>an input unit for receiving specific region information from a player;a target output unit for retrieving location-based map data corresponding to the specific area information and outputting a starting point and a location of a target within the location-based map data;Obtaining image and behavior data captured from a camera provided in the player terminal, extracting a feature point by analyzing the image and the behavior data, and virtual spatial coordinates of a point coincident with the feature point on the location-based map data a location-based positioning unit that recognizes as the current location of the player terminal and maps the current location to the location-based map data;a movement path calculating unit for recognizing a change in position according to a change in movement of the player terminal and calculating a movement path from the starting point to the target when the player terminal arrives at the starting point;a location-based navigation unit for providing location-based navigation for the movement route to the player terminal by combining the movement route with the image captured by the player terminal; and a coordinate collection unit configured to collect coordinate data from the player terminal when it is determined that the player terminal deviates from the movement path based on a change in the position of the player terminal.
The location-based coordinate collecting apparatus of claim 1, wherein the target output unit provides the locations of the starting point and the target in the location-based map data as absolute coordinate values.
The method of claim 2, wherein the location-based positioning unit. Recognizing, as the current location of the player terminal, the virtual spatial coordinates of an area in which the feature point extracted from the image taken by the player terminal matches the 3D cloud point mapped to the location-based map data by more than a preset threshold A location-based coordinate collection device, characterized in that it.
According to claim 3, wherein the location-based positioning unit, when the feature point extracted from the image taken by the player terminal does not match the 3D cloud point mapped to the location-based map data by more than a preset threshold, the player terminal A virtual space for a point coincident with additionally extracted feature points after acquiring a peripheral scan image to scan the surroundings while rotating in a preset direction (eg, left and right), extracting more feature points from the peripheral scan image A location-based coordinate collecting device for recognizing the image coordinates as the current location of the player terminal.
a process of receiving specific region information from a player;retrieving location-based map data corresponding to the specific area information and outputting a starting point and a location of a target in the location-based map data;obtaining an image and behavior data captured from a camera provided in a player terminal, and extracting feature points by analyzing the image and behavior data;recognizing virtual spatial coordinates of a point on the location-based map data that coincide with the feature point as the current location of the player terminal, and mapping the current location to the location-based map data;calculating a movement path from the starting point to the target when the player terminal reaches the starting point by recognizing a change in position according to a change in movement of the player terminal;providing a location-based navigation for the movement route to the player terminal by combining the movement route with the image captured by the player terminal; and collecting coordinate data from the player terminal when it is determined that the player terminal deviates from the movement path based on a change in the position of the player terminal.Location-based coordinate collection method comprising a.</t>
  </si>
  <si>
    <t>Jeong, Hye Won|Park, Hyun Su</t>
  </si>
  <si>
    <t>A63F0013650000 | A63F0013525000 | A63F0013530000 | A63F0013630000 | A63F2300690000 | A63F2300808200 | G01C0021206000 | G01C0021383000 | G06Q0050100000</t>
  </si>
  <si>
    <t>A63F01365000 | A63F01352500 | A63F01353000 | A63F01363000 | G01C02100000 | G01C02120000 | G06Q05010000</t>
  </si>
  <si>
    <t>KR20220150020A</t>
  </si>
  <si>
    <t>KR20220150020 A</t>
  </si>
  <si>
    <t>I-000232495111</t>
  </si>
  <si>
    <t>20 years from 2021-05-03 (file date)</t>
  </si>
  <si>
    <t>https://patentscout.innography.com/share/vBPOI74bGWRJG6ILxbY9-w%3D%3D</t>
  </si>
  <si>
    <t>https://patentscout.innography.com/share/vBPOI74bGWRJG6ILxbY9-w%3D%3D/download</t>
  </si>
  <si>
    <t>https://v3.espacenet.com/publicationDetails/biblio?CC=KR&amp;NR=20220150020A&amp;KC=A&amp;FT=D&amp;date=20221110&amp;DB=EPODOC&amp;locale=</t>
  </si>
  <si>
    <t>1.  an input unit for receiving specific region information from a player;a target output unit for retrieving location-based map data corresponding to the specific area information and outputting a starting point and a location of a target within the location-based map data;Obtaining image and behavior data captured from a camera provided in the player terminal, extracting a feature point by analyzing the image and the behavior data, and virtual spatial coordinates of a point coincident with the feature point on the location-based map data a location-based positioning unit that recognizes as the current location of the player terminal and maps the current location to the location-based map data;a movement path calculating unit for recognizing a change in position according to a change in movement of the player terminal and calculating a movement path from the starting point to the target when the player terminal arrives at the starting point;a location-based navigation unit for providing location-based navigation for the movement route to the player terminal by combining the movement route with the image captured by the player terminal; and a coordinate collection unit configured to collect coordinate data from the player terminal when it is determined that the player terminal deviates from the movement path based on a change in the position of the player terminal.</t>
  </si>
  <si>
    <t>5.  a process of receiving specific region information from a player;retrieving location-based map data corresponding to the specific area information and outputting a starting point and a location of a target in the location-based map data;obtaining an image and behavior data captured from a camera provided in a player terminal, and extracting feature points by analyzing the image and behavior data;recognizing virtual spatial coordinates of a point on the location-based map data that coincide with the feature point as the current location of the player terminal, and mapping the current location to the location-based map data;calculating a movement path from the starting point to the target when the player terminal reaches the starting point by recognizing a change in position according to a change in movement of the player terminal;providing a location-based navigation for the movement route to the player terminal by combining the movement route with the image captured by the player terminal; and collecting coordinate data from the player terminal when it is determined that the player terminal deviates from the movement path based on a change in the position of the player terminal.Location-based coordinate collection method comprising a.</t>
  </si>
  <si>
    <t>2042-11-18</t>
  </si>
  <si>
    <t>The present disclosure relates to the field of artificial intelligence technology particularly computer vision virtual/augmented reality and metaverse technology and provides a virtual character generation method. The virtual character generation method includes converting a plurality of point data of an initial three-dimensional virtual character into a frequency field to obtain a plurality of frequency field point data rendering the plurality of frequency field point data and generating a first three-dimensional virtual character. determining the sensing characteristics of the first three-dimensional virtual character and generating a second three-dimensional virtual character based on the difference between the sensing characteristics and the predetermined style characteristics. The present disclosure further provides a virtual character generating device electronic equipment a storage medium and a computer program.</t>
  </si>
  <si>
    <t>Method for generating virtual characters, device for generating virtual characters, electronic equipment, storage medium, and computer program</t>
  </si>
  <si>
    <t>Baidu, Inc.</t>
  </si>
  <si>
    <t>KR20220155155A</t>
  </si>
  <si>
    <t>Converting a plurality of point data of an initial 3D virtual character into a frequency field to obtain a plurality of frequency field point data; rendering the plurality of frequency field point data to generate a first 3D virtual character; A method for generating a virtual character, comprising determining a sensing characteristic of a 3-dimensional virtual character, and generating a second 3-dimensional virtual character based on a difference between the sensing characteristic and a predetermined style characteristic.</t>
  </si>
  <si>
    <t>Converting a plurality of point data of an initial 3D virtual character into a frequency field to obtain a plurality of frequency field point data; rendering the plurality of frequency field point data to generate a first 3D virtual character; A method for generating a virtual character, comprising determining a sensing characteristic of a 3-dimensional virtual character, and generating a second 3-dimensional virtual character based on a difference between the sensing characteristic and a predetermined style characteristic.
The method of claim 1, wherein generating the second 3-dimensional virtual character based on the difference between the sensed feature and the predetermined style feature comprises: determining a difference value between the sensed feature and the predetermined style feature; Determining whether the values converge, when it is determined that the difference values converge, making the current first 3D virtual character the second 3D virtual character, and when it is determined that the difference values do not converge, adjusting the plurality of frequency field point data and returning to an operation of rendering the plurality of frequency field point data.
The method of claim 1 or 2, wherein the point data includes point coordinate data and color data.
The method of claim 3, wherein adjusting the plurality of frequency field point data comprises: determining a vertex normal of each frequency field point data among the plurality of frequency field point data; and and adjusting each of the frequency field point data along a direction in which a vertex normal extends.
The virtual character of claim 2, wherein determining the sensing characteristics of the first 3D virtual character comprises obtaining sensing characteristics of the first 3D virtual character by processing the first 3D virtual character using a CLIP model. How to create.
The method of claim 1 or 2, further comprising determining the predetermined style characteristics based on style description information using a CLIP model.
A conversion module for converting a plurality of point data of an initial 3D virtual character into a frequency field and obtaining a plurality of frequency field point data; a rendering module for generating a first 3D virtual character by rendering the plurality of frequency field point data; A virtual character creation device comprising: a first determining module for determining a detected characteristic of a first 3-dimensional virtual character; and a generation module for generating a second 3-dimensional virtual character based on a difference between the detected characteristic and a predetermined style characteristic.
The method of claim 7, wherein the generation module comprises: a first determining submodule for determining a difference between the detected feature and a predetermined style feature; a second determining submodule for determining whether the difference value is converged; is determined to converge, an acquisition submodule that sets the current first 3D virtual character as the second 3D virtual character, and if it is determined that the difference value does not converge, adjusts the plurality of frequency field point data and an adjustment sub-module for returning to an operation of rendering the plurality of frequency field point data.
The virtual character generating device according to claim 7 or 8, wherein the point data includes point coordinate data and color data.
The method according to claim 9, wherein the adjustment submodule comprises: a determination unit configured to determine, for each frequency field point data in the plurality of frequency field point data, a vertex normal of each frequency field point data; and the vertex normal is extended. and an adjustment unit for adjusting each of the frequency field point data along a direction.
The virtual character generating device according to claim 8, wherein the first determination module processes the first 3D virtual character using a CLIP model to obtain sensing characteristics of the first 3D virtual character.
The virtual character creation device according to claim 7 or 8, further comprising a second determination module for determining the predetermined style characteristics based on style description information using a CLIP model.
An electronic device comprising at least one processor and a memory communicatively coupled to the at least one processor, wherein the memory stores instructions executable by the at least one processor, the instructions running on the at least one processor. An electronic device that is executed by a processor to cause the at least one processor to execute the method of claim 1 or 2.
A non-transitory computer-readable storage medium having a computer program stored thereon, and when the computer program is executed by a processor, the method of claim 1 or 2 is implemented.
A computer program stored on a computer-readable storage medium, which implements the method of claim 1 or 2 when the computer program is executed by a processor.</t>
  </si>
  <si>
    <t>Li, Jie|Zhao, Chen</t>
  </si>
  <si>
    <t>G06T0015005000</t>
  </si>
  <si>
    <t>G06T0015005000 | G06T0015020000 | G06T0017200000</t>
  </si>
  <si>
    <t>G06T01340000 | G06T00773000 | G06T00790000 | G06T01500000 | G06T01920000</t>
  </si>
  <si>
    <t>CN114612600A|KR20220161233A</t>
  </si>
  <si>
    <t>KR20220161233 A | CN114612600 A</t>
  </si>
  <si>
    <t>I-000233308415</t>
  </si>
  <si>
    <t>20 years from 2022-11-18 (file date)</t>
  </si>
  <si>
    <t>https://patentscout.innography.com/share/aAq5WqycUQpb60LQ8dkK4g%3D%3D</t>
  </si>
  <si>
    <t>https://patentscout.innography.com/share/aAq5WqycUQpb60LQ8dkK4g%3D%3D/download</t>
  </si>
  <si>
    <t>https://v3.espacenet.com/publicationDetails/biblio?CC=KR&amp;NR=20220161233A&amp;KC=A&amp;FT=D&amp;date=20221206&amp;DB=EPODOC&amp;locale=</t>
  </si>
  <si>
    <t>KR20220161233 A</t>
  </si>
  <si>
    <t>CN114612600 A</t>
  </si>
  <si>
    <t>1.  Converting a plurality of point data of an initial 3D virtual character into a frequency field to obtain a plurality of frequency field point data; rendering the plurality of frequency field point data to generate a first 3D virtual character; A method for generating a virtual character, comprising determining a sensing characteristic of a 3 -dimensional virtual character, and generating a second 3 -dimensional virtual character based on a difference between the sensing characteristic and a predetermined style characteristic.</t>
  </si>
  <si>
    <t>7.  A conversion module for converting a plurality of point data of an initial 3D virtual character into a frequency field and obtaining a plurality of frequency field point data; a rendering module for generating a first 3D virtual character by rendering the plurality of frequency field point data; A virtual character creation device comprising: a first determining module for determining a detected characteristic of a first 3 -dimensional virtual character; and a generation module for generating a second 3 -dimensional virtual character based on a difference between the detected characteristic and a predetermined style characteristic.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</si>
</sst>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rgb="FF000000"/>
      <name val="Calibri"/>
    </font>
    <font>
      <b/>
      <sz val="11"/>
      <color rgb="FF000000"/>
      <name val="Calibri"/>
    </font>
    <font>
      <u/>
      <sz val="11"/>
      <color rgb="FF0000FF"/>
      <name val="Calibri"/>
    </font>
    <font>
      <sz val="9"/>
      <name val="宋体"/>
      <family val="3"/>
      <charset val="134"/>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1" fillId="0" borderId="0" xfId="0" applyFont="1"/>
    <xf numFmtId="0" fontId="0" fillId="0" borderId="0" xfId="0" applyAlignment="1">
      <alignment vertical="top" wrapText="1"/>
    </xf>
    <xf numFmtId="0" fontId="2" fillId="0" borderId="0" xfId="0" applyFont="1" applyAlignment="1">
      <alignment vertical="top" wrapText="1"/>
    </xf>
  </cellXfs>
  <cellStyles count="1">
    <cellStyle name="常规" xfId="0" builtinId="0"/>
  </cellStyles>
  <dxfs count="0"/>
  <tableStyles count="0" defaultTableStyle="Table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99" Type="http://schemas.openxmlformats.org/officeDocument/2006/relationships/image" Target="../media/image299.png"/><Relationship Id="rId21" Type="http://schemas.openxmlformats.org/officeDocument/2006/relationships/image" Target="../media/image21.png"/><Relationship Id="rId63" Type="http://schemas.openxmlformats.org/officeDocument/2006/relationships/image" Target="../media/image63.png"/><Relationship Id="rId159" Type="http://schemas.openxmlformats.org/officeDocument/2006/relationships/image" Target="../media/image159.png"/><Relationship Id="rId170" Type="http://schemas.openxmlformats.org/officeDocument/2006/relationships/image" Target="../media/image170.png"/><Relationship Id="rId226" Type="http://schemas.openxmlformats.org/officeDocument/2006/relationships/image" Target="../media/image226.png"/><Relationship Id="rId268" Type="http://schemas.openxmlformats.org/officeDocument/2006/relationships/image" Target="../media/image268.png"/><Relationship Id="rId32" Type="http://schemas.openxmlformats.org/officeDocument/2006/relationships/image" Target="../media/image32.png"/><Relationship Id="rId74" Type="http://schemas.openxmlformats.org/officeDocument/2006/relationships/image" Target="../media/image74.png"/><Relationship Id="rId128" Type="http://schemas.openxmlformats.org/officeDocument/2006/relationships/image" Target="../media/image128.png"/><Relationship Id="rId5" Type="http://schemas.openxmlformats.org/officeDocument/2006/relationships/image" Target="../media/image5.png"/><Relationship Id="rId181" Type="http://schemas.openxmlformats.org/officeDocument/2006/relationships/image" Target="../media/image181.png"/><Relationship Id="rId237" Type="http://schemas.openxmlformats.org/officeDocument/2006/relationships/image" Target="../media/image237.png"/><Relationship Id="rId279" Type="http://schemas.openxmlformats.org/officeDocument/2006/relationships/image" Target="../media/image279.png"/><Relationship Id="rId43" Type="http://schemas.openxmlformats.org/officeDocument/2006/relationships/image" Target="../media/image43.png"/><Relationship Id="rId139" Type="http://schemas.openxmlformats.org/officeDocument/2006/relationships/image" Target="../media/image139.png"/><Relationship Id="rId290" Type="http://schemas.openxmlformats.org/officeDocument/2006/relationships/image" Target="../media/image290.png"/><Relationship Id="rId304" Type="http://schemas.openxmlformats.org/officeDocument/2006/relationships/image" Target="../media/image304.png"/><Relationship Id="rId85" Type="http://schemas.openxmlformats.org/officeDocument/2006/relationships/image" Target="../media/image85.png"/><Relationship Id="rId150" Type="http://schemas.openxmlformats.org/officeDocument/2006/relationships/image" Target="../media/image150.png"/><Relationship Id="rId192" Type="http://schemas.openxmlformats.org/officeDocument/2006/relationships/image" Target="../media/image192.png"/><Relationship Id="rId206" Type="http://schemas.openxmlformats.org/officeDocument/2006/relationships/image" Target="../media/image206.png"/><Relationship Id="rId248" Type="http://schemas.openxmlformats.org/officeDocument/2006/relationships/image" Target="../media/image248.png"/><Relationship Id="rId12" Type="http://schemas.openxmlformats.org/officeDocument/2006/relationships/image" Target="../media/image12.png"/><Relationship Id="rId108" Type="http://schemas.openxmlformats.org/officeDocument/2006/relationships/image" Target="../media/image108.png"/><Relationship Id="rId54" Type="http://schemas.openxmlformats.org/officeDocument/2006/relationships/image" Target="../media/image54.png"/><Relationship Id="rId96" Type="http://schemas.openxmlformats.org/officeDocument/2006/relationships/image" Target="../media/image96.png"/><Relationship Id="rId161" Type="http://schemas.openxmlformats.org/officeDocument/2006/relationships/image" Target="../media/image161.png"/><Relationship Id="rId217" Type="http://schemas.openxmlformats.org/officeDocument/2006/relationships/image" Target="../media/image217.png"/><Relationship Id="rId6" Type="http://schemas.openxmlformats.org/officeDocument/2006/relationships/image" Target="../media/image6.png"/><Relationship Id="rId238" Type="http://schemas.openxmlformats.org/officeDocument/2006/relationships/image" Target="../media/image238.png"/><Relationship Id="rId259" Type="http://schemas.openxmlformats.org/officeDocument/2006/relationships/image" Target="../media/image259.png"/><Relationship Id="rId23" Type="http://schemas.openxmlformats.org/officeDocument/2006/relationships/image" Target="../media/image23.png"/><Relationship Id="rId119" Type="http://schemas.openxmlformats.org/officeDocument/2006/relationships/image" Target="../media/image119.png"/><Relationship Id="rId270" Type="http://schemas.openxmlformats.org/officeDocument/2006/relationships/image" Target="../media/image270.png"/><Relationship Id="rId291" Type="http://schemas.openxmlformats.org/officeDocument/2006/relationships/image" Target="../media/image291.png"/><Relationship Id="rId44" Type="http://schemas.openxmlformats.org/officeDocument/2006/relationships/image" Target="../media/image44.png"/><Relationship Id="rId65" Type="http://schemas.openxmlformats.org/officeDocument/2006/relationships/image" Target="../media/image65.png"/><Relationship Id="rId86" Type="http://schemas.openxmlformats.org/officeDocument/2006/relationships/image" Target="../media/image86.png"/><Relationship Id="rId130" Type="http://schemas.openxmlformats.org/officeDocument/2006/relationships/image" Target="../media/image130.png"/><Relationship Id="rId151" Type="http://schemas.openxmlformats.org/officeDocument/2006/relationships/image" Target="../media/image151.png"/><Relationship Id="rId172" Type="http://schemas.openxmlformats.org/officeDocument/2006/relationships/image" Target="../media/image172.png"/><Relationship Id="rId193" Type="http://schemas.openxmlformats.org/officeDocument/2006/relationships/image" Target="../media/image193.png"/><Relationship Id="rId207" Type="http://schemas.openxmlformats.org/officeDocument/2006/relationships/image" Target="../media/image207.png"/><Relationship Id="rId228" Type="http://schemas.openxmlformats.org/officeDocument/2006/relationships/image" Target="../media/image228.png"/><Relationship Id="rId249" Type="http://schemas.openxmlformats.org/officeDocument/2006/relationships/image" Target="../media/image249.png"/><Relationship Id="rId13" Type="http://schemas.openxmlformats.org/officeDocument/2006/relationships/image" Target="../media/image13.png"/><Relationship Id="rId109" Type="http://schemas.openxmlformats.org/officeDocument/2006/relationships/image" Target="../media/image109.png"/><Relationship Id="rId260" Type="http://schemas.openxmlformats.org/officeDocument/2006/relationships/image" Target="../media/image260.png"/><Relationship Id="rId281" Type="http://schemas.openxmlformats.org/officeDocument/2006/relationships/image" Target="../media/image281.png"/><Relationship Id="rId34" Type="http://schemas.openxmlformats.org/officeDocument/2006/relationships/image" Target="../media/image34.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20" Type="http://schemas.openxmlformats.org/officeDocument/2006/relationships/image" Target="../media/image120.png"/><Relationship Id="rId141" Type="http://schemas.openxmlformats.org/officeDocument/2006/relationships/image" Target="../media/image141.png"/><Relationship Id="rId7" Type="http://schemas.openxmlformats.org/officeDocument/2006/relationships/image" Target="../media/image7.png"/><Relationship Id="rId162" Type="http://schemas.openxmlformats.org/officeDocument/2006/relationships/image" Target="../media/image162.png"/><Relationship Id="rId183" Type="http://schemas.openxmlformats.org/officeDocument/2006/relationships/image" Target="../media/image183.png"/><Relationship Id="rId218" Type="http://schemas.openxmlformats.org/officeDocument/2006/relationships/image" Target="../media/image218.png"/><Relationship Id="rId239" Type="http://schemas.openxmlformats.org/officeDocument/2006/relationships/image" Target="../media/image239.png"/><Relationship Id="rId250" Type="http://schemas.openxmlformats.org/officeDocument/2006/relationships/image" Target="../media/image250.png"/><Relationship Id="rId271" Type="http://schemas.openxmlformats.org/officeDocument/2006/relationships/image" Target="../media/image271.png"/><Relationship Id="rId292" Type="http://schemas.openxmlformats.org/officeDocument/2006/relationships/image" Target="../media/image292.png"/><Relationship Id="rId24" Type="http://schemas.openxmlformats.org/officeDocument/2006/relationships/image" Target="../media/image24.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31" Type="http://schemas.openxmlformats.org/officeDocument/2006/relationships/image" Target="../media/image131.png"/><Relationship Id="rId152" Type="http://schemas.openxmlformats.org/officeDocument/2006/relationships/image" Target="../media/image152.png"/><Relationship Id="rId173" Type="http://schemas.openxmlformats.org/officeDocument/2006/relationships/image" Target="../media/image173.png"/><Relationship Id="rId194" Type="http://schemas.openxmlformats.org/officeDocument/2006/relationships/image" Target="../media/image194.png"/><Relationship Id="rId208" Type="http://schemas.openxmlformats.org/officeDocument/2006/relationships/image" Target="../media/image208.png"/><Relationship Id="rId229" Type="http://schemas.openxmlformats.org/officeDocument/2006/relationships/image" Target="../media/image229.png"/><Relationship Id="rId240" Type="http://schemas.openxmlformats.org/officeDocument/2006/relationships/image" Target="../media/image240.png"/><Relationship Id="rId261" Type="http://schemas.openxmlformats.org/officeDocument/2006/relationships/image" Target="../media/image261.png"/><Relationship Id="rId14" Type="http://schemas.openxmlformats.org/officeDocument/2006/relationships/image" Target="../media/image14.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282" Type="http://schemas.openxmlformats.org/officeDocument/2006/relationships/image" Target="../media/image282.png"/><Relationship Id="rId8" Type="http://schemas.openxmlformats.org/officeDocument/2006/relationships/image" Target="../media/image8.png"/><Relationship Id="rId98" Type="http://schemas.openxmlformats.org/officeDocument/2006/relationships/image" Target="../media/image98.png"/><Relationship Id="rId121" Type="http://schemas.openxmlformats.org/officeDocument/2006/relationships/image" Target="../media/image121.png"/><Relationship Id="rId142" Type="http://schemas.openxmlformats.org/officeDocument/2006/relationships/image" Target="../media/image142.png"/><Relationship Id="rId163" Type="http://schemas.openxmlformats.org/officeDocument/2006/relationships/image" Target="../media/image163.png"/><Relationship Id="rId184" Type="http://schemas.openxmlformats.org/officeDocument/2006/relationships/image" Target="../media/image184.png"/><Relationship Id="rId219" Type="http://schemas.openxmlformats.org/officeDocument/2006/relationships/image" Target="../media/image219.png"/><Relationship Id="rId230" Type="http://schemas.openxmlformats.org/officeDocument/2006/relationships/image" Target="../media/image230.png"/><Relationship Id="rId251" Type="http://schemas.openxmlformats.org/officeDocument/2006/relationships/image" Target="../media/image251.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272" Type="http://schemas.openxmlformats.org/officeDocument/2006/relationships/image" Target="../media/image272.png"/><Relationship Id="rId293" Type="http://schemas.openxmlformats.org/officeDocument/2006/relationships/image" Target="../media/image293.png"/><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png"/><Relationship Id="rId153" Type="http://schemas.openxmlformats.org/officeDocument/2006/relationships/image" Target="../media/image153.png"/><Relationship Id="rId174" Type="http://schemas.openxmlformats.org/officeDocument/2006/relationships/image" Target="../media/image174.png"/><Relationship Id="rId195" Type="http://schemas.openxmlformats.org/officeDocument/2006/relationships/image" Target="../media/image195.png"/><Relationship Id="rId209" Type="http://schemas.openxmlformats.org/officeDocument/2006/relationships/image" Target="../media/image209.png"/><Relationship Id="rId220" Type="http://schemas.openxmlformats.org/officeDocument/2006/relationships/image" Target="../media/image220.png"/><Relationship Id="rId241" Type="http://schemas.openxmlformats.org/officeDocument/2006/relationships/image" Target="../media/image241.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262" Type="http://schemas.openxmlformats.org/officeDocument/2006/relationships/image" Target="../media/image262.png"/><Relationship Id="rId283" Type="http://schemas.openxmlformats.org/officeDocument/2006/relationships/image" Target="../media/image283.png"/><Relationship Id="rId78" Type="http://schemas.openxmlformats.org/officeDocument/2006/relationships/image" Target="../media/image78.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143" Type="http://schemas.openxmlformats.org/officeDocument/2006/relationships/image" Target="../media/image143.png"/><Relationship Id="rId164" Type="http://schemas.openxmlformats.org/officeDocument/2006/relationships/image" Target="../media/image164.png"/><Relationship Id="rId185" Type="http://schemas.openxmlformats.org/officeDocument/2006/relationships/image" Target="../media/image185.png"/><Relationship Id="rId9" Type="http://schemas.openxmlformats.org/officeDocument/2006/relationships/image" Target="../media/image9.png"/><Relationship Id="rId210" Type="http://schemas.openxmlformats.org/officeDocument/2006/relationships/image" Target="../media/image210.png"/><Relationship Id="rId26" Type="http://schemas.openxmlformats.org/officeDocument/2006/relationships/image" Target="../media/image26.png"/><Relationship Id="rId231" Type="http://schemas.openxmlformats.org/officeDocument/2006/relationships/image" Target="../media/image231.png"/><Relationship Id="rId252" Type="http://schemas.openxmlformats.org/officeDocument/2006/relationships/image" Target="../media/image252.png"/><Relationship Id="rId273" Type="http://schemas.openxmlformats.org/officeDocument/2006/relationships/image" Target="../media/image273.png"/><Relationship Id="rId294" Type="http://schemas.openxmlformats.org/officeDocument/2006/relationships/image" Target="../media/image294.png"/><Relationship Id="rId47" Type="http://schemas.openxmlformats.org/officeDocument/2006/relationships/image" Target="../media/image47.pn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png"/><Relationship Id="rId133" Type="http://schemas.openxmlformats.org/officeDocument/2006/relationships/image" Target="../media/image133.png"/><Relationship Id="rId154" Type="http://schemas.openxmlformats.org/officeDocument/2006/relationships/image" Target="../media/image154.png"/><Relationship Id="rId175" Type="http://schemas.openxmlformats.org/officeDocument/2006/relationships/image" Target="../media/image175.png"/><Relationship Id="rId196" Type="http://schemas.openxmlformats.org/officeDocument/2006/relationships/image" Target="../media/image196.png"/><Relationship Id="rId200" Type="http://schemas.openxmlformats.org/officeDocument/2006/relationships/image" Target="../media/image200.png"/><Relationship Id="rId16" Type="http://schemas.openxmlformats.org/officeDocument/2006/relationships/image" Target="../media/image16.png"/><Relationship Id="rId221" Type="http://schemas.openxmlformats.org/officeDocument/2006/relationships/image" Target="../media/image221.png"/><Relationship Id="rId242" Type="http://schemas.openxmlformats.org/officeDocument/2006/relationships/image" Target="../media/image242.png"/><Relationship Id="rId263" Type="http://schemas.openxmlformats.org/officeDocument/2006/relationships/image" Target="../media/image263.png"/><Relationship Id="rId284" Type="http://schemas.openxmlformats.org/officeDocument/2006/relationships/image" Target="../media/image284.png"/><Relationship Id="rId37" Type="http://schemas.openxmlformats.org/officeDocument/2006/relationships/image" Target="../media/image37.png"/><Relationship Id="rId58" Type="http://schemas.openxmlformats.org/officeDocument/2006/relationships/image" Target="../media/image58.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144" Type="http://schemas.openxmlformats.org/officeDocument/2006/relationships/image" Target="../media/image144.png"/><Relationship Id="rId90" Type="http://schemas.openxmlformats.org/officeDocument/2006/relationships/image" Target="../media/image90.png"/><Relationship Id="rId165" Type="http://schemas.openxmlformats.org/officeDocument/2006/relationships/image" Target="../media/image165.png"/><Relationship Id="rId186" Type="http://schemas.openxmlformats.org/officeDocument/2006/relationships/image" Target="../media/image186.png"/><Relationship Id="rId211" Type="http://schemas.openxmlformats.org/officeDocument/2006/relationships/image" Target="../media/image211.png"/><Relationship Id="rId232" Type="http://schemas.openxmlformats.org/officeDocument/2006/relationships/image" Target="../media/image232.png"/><Relationship Id="rId253" Type="http://schemas.openxmlformats.org/officeDocument/2006/relationships/image" Target="../media/image253.png"/><Relationship Id="rId274" Type="http://schemas.openxmlformats.org/officeDocument/2006/relationships/image" Target="../media/image274.png"/><Relationship Id="rId295" Type="http://schemas.openxmlformats.org/officeDocument/2006/relationships/image" Target="../media/image295.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png"/><Relationship Id="rId197" Type="http://schemas.openxmlformats.org/officeDocument/2006/relationships/image" Target="../media/image197.png"/><Relationship Id="rId201" Type="http://schemas.openxmlformats.org/officeDocument/2006/relationships/image" Target="../media/image201.png"/><Relationship Id="rId222" Type="http://schemas.openxmlformats.org/officeDocument/2006/relationships/image" Target="../media/image222.png"/><Relationship Id="rId243" Type="http://schemas.openxmlformats.org/officeDocument/2006/relationships/image" Target="../media/image243.png"/><Relationship Id="rId264" Type="http://schemas.openxmlformats.org/officeDocument/2006/relationships/image" Target="../media/image264.png"/><Relationship Id="rId285" Type="http://schemas.openxmlformats.org/officeDocument/2006/relationships/image" Target="../media/image285.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24" Type="http://schemas.openxmlformats.org/officeDocument/2006/relationships/image" Target="../media/image124.pn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1" Type="http://schemas.openxmlformats.org/officeDocument/2006/relationships/image" Target="../media/image1.png"/><Relationship Id="rId212" Type="http://schemas.openxmlformats.org/officeDocument/2006/relationships/image" Target="../media/image212.png"/><Relationship Id="rId233" Type="http://schemas.openxmlformats.org/officeDocument/2006/relationships/image" Target="../media/image233.png"/><Relationship Id="rId254" Type="http://schemas.openxmlformats.org/officeDocument/2006/relationships/image" Target="../media/image254.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275" Type="http://schemas.openxmlformats.org/officeDocument/2006/relationships/image" Target="../media/image275.png"/><Relationship Id="rId296" Type="http://schemas.openxmlformats.org/officeDocument/2006/relationships/image" Target="../media/image296.png"/><Relationship Id="rId300" Type="http://schemas.openxmlformats.org/officeDocument/2006/relationships/image" Target="../media/image300.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png"/><Relationship Id="rId177" Type="http://schemas.openxmlformats.org/officeDocument/2006/relationships/image" Target="../media/image177.png"/><Relationship Id="rId198" Type="http://schemas.openxmlformats.org/officeDocument/2006/relationships/image" Target="../media/image198.png"/><Relationship Id="rId202" Type="http://schemas.openxmlformats.org/officeDocument/2006/relationships/image" Target="../media/image202.png"/><Relationship Id="rId223" Type="http://schemas.openxmlformats.org/officeDocument/2006/relationships/image" Target="../media/image223.png"/><Relationship Id="rId244" Type="http://schemas.openxmlformats.org/officeDocument/2006/relationships/image" Target="../media/image244.png"/><Relationship Id="rId18" Type="http://schemas.openxmlformats.org/officeDocument/2006/relationships/image" Target="../media/image18.png"/><Relationship Id="rId39" Type="http://schemas.openxmlformats.org/officeDocument/2006/relationships/image" Target="../media/image39.png"/><Relationship Id="rId265" Type="http://schemas.openxmlformats.org/officeDocument/2006/relationships/image" Target="../media/image265.png"/><Relationship Id="rId286" Type="http://schemas.openxmlformats.org/officeDocument/2006/relationships/image" Target="../media/image286.pn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pn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34" Type="http://schemas.openxmlformats.org/officeDocument/2006/relationships/image" Target="../media/image234.png"/><Relationship Id="rId2" Type="http://schemas.openxmlformats.org/officeDocument/2006/relationships/image" Target="../media/image2.png"/><Relationship Id="rId29" Type="http://schemas.openxmlformats.org/officeDocument/2006/relationships/image" Target="../media/image29.png"/><Relationship Id="rId255" Type="http://schemas.openxmlformats.org/officeDocument/2006/relationships/image" Target="../media/image255.png"/><Relationship Id="rId276" Type="http://schemas.openxmlformats.org/officeDocument/2006/relationships/image" Target="../media/image276.png"/><Relationship Id="rId297" Type="http://schemas.openxmlformats.org/officeDocument/2006/relationships/image" Target="../media/image297.png"/><Relationship Id="rId40" Type="http://schemas.openxmlformats.org/officeDocument/2006/relationships/image" Target="../media/image40.png"/><Relationship Id="rId115" Type="http://schemas.openxmlformats.org/officeDocument/2006/relationships/image" Target="../media/image115.png"/><Relationship Id="rId136" Type="http://schemas.openxmlformats.org/officeDocument/2006/relationships/image" Target="../media/image136.png"/><Relationship Id="rId157" Type="http://schemas.openxmlformats.org/officeDocument/2006/relationships/image" Target="../media/image157.png"/><Relationship Id="rId178" Type="http://schemas.openxmlformats.org/officeDocument/2006/relationships/image" Target="../media/image178.png"/><Relationship Id="rId301" Type="http://schemas.openxmlformats.org/officeDocument/2006/relationships/image" Target="../media/image301.pn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19" Type="http://schemas.openxmlformats.org/officeDocument/2006/relationships/image" Target="../media/image19.png"/><Relationship Id="rId224" Type="http://schemas.openxmlformats.org/officeDocument/2006/relationships/image" Target="../media/image224.png"/><Relationship Id="rId245" Type="http://schemas.openxmlformats.org/officeDocument/2006/relationships/image" Target="../media/image245.png"/><Relationship Id="rId266" Type="http://schemas.openxmlformats.org/officeDocument/2006/relationships/image" Target="../media/image266.png"/><Relationship Id="rId287" Type="http://schemas.openxmlformats.org/officeDocument/2006/relationships/image" Target="../media/image287.png"/><Relationship Id="rId30" Type="http://schemas.openxmlformats.org/officeDocument/2006/relationships/image" Target="../media/image3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png"/><Relationship Id="rId168" Type="http://schemas.openxmlformats.org/officeDocument/2006/relationships/image" Target="../media/image16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189" Type="http://schemas.openxmlformats.org/officeDocument/2006/relationships/image" Target="../media/image189.png"/><Relationship Id="rId3" Type="http://schemas.openxmlformats.org/officeDocument/2006/relationships/image" Target="../media/image3.png"/><Relationship Id="rId214" Type="http://schemas.openxmlformats.org/officeDocument/2006/relationships/image" Target="../media/image214.png"/><Relationship Id="rId235" Type="http://schemas.openxmlformats.org/officeDocument/2006/relationships/image" Target="../media/image235.png"/><Relationship Id="rId256" Type="http://schemas.openxmlformats.org/officeDocument/2006/relationships/image" Target="../media/image256.png"/><Relationship Id="rId277" Type="http://schemas.openxmlformats.org/officeDocument/2006/relationships/image" Target="../media/image277.png"/><Relationship Id="rId298" Type="http://schemas.openxmlformats.org/officeDocument/2006/relationships/image" Target="../media/image298.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302" Type="http://schemas.openxmlformats.org/officeDocument/2006/relationships/image" Target="../media/image302.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png"/><Relationship Id="rId190" Type="http://schemas.openxmlformats.org/officeDocument/2006/relationships/image" Target="../media/image190.png"/><Relationship Id="rId204" Type="http://schemas.openxmlformats.org/officeDocument/2006/relationships/image" Target="../media/image204.png"/><Relationship Id="rId225" Type="http://schemas.openxmlformats.org/officeDocument/2006/relationships/image" Target="../media/image225.png"/><Relationship Id="rId246" Type="http://schemas.openxmlformats.org/officeDocument/2006/relationships/image" Target="../media/image246.png"/><Relationship Id="rId267" Type="http://schemas.openxmlformats.org/officeDocument/2006/relationships/image" Target="../media/image267.png"/><Relationship Id="rId288" Type="http://schemas.openxmlformats.org/officeDocument/2006/relationships/image" Target="../media/image288.png"/><Relationship Id="rId106" Type="http://schemas.openxmlformats.org/officeDocument/2006/relationships/image" Target="../media/image106.png"/><Relationship Id="rId127" Type="http://schemas.openxmlformats.org/officeDocument/2006/relationships/image" Target="../media/image127.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94" Type="http://schemas.openxmlformats.org/officeDocument/2006/relationships/image" Target="../media/image94.png"/><Relationship Id="rId148" Type="http://schemas.openxmlformats.org/officeDocument/2006/relationships/image" Target="../media/image148.png"/><Relationship Id="rId169" Type="http://schemas.openxmlformats.org/officeDocument/2006/relationships/image" Target="../media/image169.png"/><Relationship Id="rId4" Type="http://schemas.openxmlformats.org/officeDocument/2006/relationships/image" Target="../media/image4.png"/><Relationship Id="rId180" Type="http://schemas.openxmlformats.org/officeDocument/2006/relationships/image" Target="../media/image180.png"/><Relationship Id="rId215" Type="http://schemas.openxmlformats.org/officeDocument/2006/relationships/image" Target="../media/image215.png"/><Relationship Id="rId236" Type="http://schemas.openxmlformats.org/officeDocument/2006/relationships/image" Target="../media/image236.png"/><Relationship Id="rId257" Type="http://schemas.openxmlformats.org/officeDocument/2006/relationships/image" Target="../media/image257.png"/><Relationship Id="rId278" Type="http://schemas.openxmlformats.org/officeDocument/2006/relationships/image" Target="../media/image278.png"/><Relationship Id="rId303" Type="http://schemas.openxmlformats.org/officeDocument/2006/relationships/image" Target="../media/image303.png"/><Relationship Id="rId42" Type="http://schemas.openxmlformats.org/officeDocument/2006/relationships/image" Target="../media/image42.png"/><Relationship Id="rId84" Type="http://schemas.openxmlformats.org/officeDocument/2006/relationships/image" Target="../media/image84.png"/><Relationship Id="rId138" Type="http://schemas.openxmlformats.org/officeDocument/2006/relationships/image" Target="../media/image138.png"/><Relationship Id="rId191" Type="http://schemas.openxmlformats.org/officeDocument/2006/relationships/image" Target="../media/image191.png"/><Relationship Id="rId205" Type="http://schemas.openxmlformats.org/officeDocument/2006/relationships/image" Target="../media/image205.png"/><Relationship Id="rId247" Type="http://schemas.openxmlformats.org/officeDocument/2006/relationships/image" Target="../media/image247.png"/><Relationship Id="rId107" Type="http://schemas.openxmlformats.org/officeDocument/2006/relationships/image" Target="../media/image107.png"/><Relationship Id="rId289" Type="http://schemas.openxmlformats.org/officeDocument/2006/relationships/image" Target="../media/image289.png"/><Relationship Id="rId11" Type="http://schemas.openxmlformats.org/officeDocument/2006/relationships/image" Target="../media/image11.png"/><Relationship Id="rId53" Type="http://schemas.openxmlformats.org/officeDocument/2006/relationships/image" Target="../media/image53.png"/><Relationship Id="rId149" Type="http://schemas.openxmlformats.org/officeDocument/2006/relationships/image" Target="../media/image149.png"/><Relationship Id="rId95" Type="http://schemas.openxmlformats.org/officeDocument/2006/relationships/image" Target="../media/image95.png"/><Relationship Id="rId160" Type="http://schemas.openxmlformats.org/officeDocument/2006/relationships/image" Target="../media/image160.png"/><Relationship Id="rId216" Type="http://schemas.openxmlformats.org/officeDocument/2006/relationships/image" Target="../media/image216.png"/><Relationship Id="rId258" Type="http://schemas.openxmlformats.org/officeDocument/2006/relationships/image" Target="../media/image258.png"/><Relationship Id="rId22" Type="http://schemas.openxmlformats.org/officeDocument/2006/relationships/image" Target="../media/image22.png"/><Relationship Id="rId64" Type="http://schemas.openxmlformats.org/officeDocument/2006/relationships/image" Target="../media/image64.png"/><Relationship Id="rId118" Type="http://schemas.openxmlformats.org/officeDocument/2006/relationships/image" Target="../media/image118.png"/><Relationship Id="rId171" Type="http://schemas.openxmlformats.org/officeDocument/2006/relationships/image" Target="../media/image171.png"/><Relationship Id="rId227" Type="http://schemas.openxmlformats.org/officeDocument/2006/relationships/image" Target="../media/image227.png"/><Relationship Id="rId269" Type="http://schemas.openxmlformats.org/officeDocument/2006/relationships/image" Target="../media/image269.png"/><Relationship Id="rId33" Type="http://schemas.openxmlformats.org/officeDocument/2006/relationships/image" Target="../media/image33.png"/><Relationship Id="rId129" Type="http://schemas.openxmlformats.org/officeDocument/2006/relationships/image" Target="../media/image129.png"/><Relationship Id="rId280" Type="http://schemas.openxmlformats.org/officeDocument/2006/relationships/image" Target="../media/image280.png"/><Relationship Id="rId75" Type="http://schemas.openxmlformats.org/officeDocument/2006/relationships/image" Target="../media/image75.png"/><Relationship Id="rId140" Type="http://schemas.openxmlformats.org/officeDocument/2006/relationships/image" Target="../media/image140.png"/><Relationship Id="rId182" Type="http://schemas.openxmlformats.org/officeDocument/2006/relationships/image" Target="../media/image182.png"/></Relationships>
</file>

<file path=xl/drawings/drawing1.xml><?xml version="1.0" encoding="utf-8"?>
<xdr:wsDr xmlns:xdr="http://schemas.openxmlformats.org/drawingml/2006/spreadsheetDrawing" xmlns:a="http://schemas.openxmlformats.org/drawingml/2006/main">
  <xdr:oneCellAnchor>
    <xdr:from>
      <xdr:col>87</xdr:col>
      <xdr:colOff>9525</xdr:colOff>
      <xdr:row>1</xdr:row>
      <xdr:rowOff>9525</xdr:rowOff>
    </xdr:from>
    <xdr:ext cx="1905000" cy="1905000"/>
    <xdr:pic>
      <xdr:nvPicPr>
        <xdr:cNvPr id="2" name="First Page Clipping" descr="First Page Clipping">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0"/>
          <a:ext cx="0" cy="0"/>
        </a:xfrm>
        <a:prstGeom prst="rect">
          <a:avLst/>
        </a:prstGeom>
      </xdr:spPr>
    </xdr:pic>
    <xdr:clientData/>
  </xdr:oneCellAnchor>
  <xdr:oneCellAnchor>
    <xdr:from>
      <xdr:col>87</xdr:col>
      <xdr:colOff>9525</xdr:colOff>
      <xdr:row>2</xdr:row>
      <xdr:rowOff>9525</xdr:rowOff>
    </xdr:from>
    <xdr:ext cx="1905000" cy="1905000"/>
    <xdr:pic>
      <xdr:nvPicPr>
        <xdr:cNvPr id="3" name="First Page Clipping" descr="First Page Clipping">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0"/>
          <a:ext cx="0" cy="0"/>
        </a:xfrm>
        <a:prstGeom prst="rect">
          <a:avLst/>
        </a:prstGeom>
      </xdr:spPr>
    </xdr:pic>
    <xdr:clientData/>
  </xdr:oneCellAnchor>
  <xdr:oneCellAnchor>
    <xdr:from>
      <xdr:col>87</xdr:col>
      <xdr:colOff>9525</xdr:colOff>
      <xdr:row>3</xdr:row>
      <xdr:rowOff>9525</xdr:rowOff>
    </xdr:from>
    <xdr:ext cx="1905000" cy="1905000"/>
    <xdr:pic>
      <xdr:nvPicPr>
        <xdr:cNvPr id="4" name="First Page Clipping" descr="First Page Clipping">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0"/>
          <a:ext cx="0" cy="0"/>
        </a:xfrm>
        <a:prstGeom prst="rect">
          <a:avLst/>
        </a:prstGeom>
      </xdr:spPr>
    </xdr:pic>
    <xdr:clientData/>
  </xdr:oneCellAnchor>
  <xdr:oneCellAnchor>
    <xdr:from>
      <xdr:col>87</xdr:col>
      <xdr:colOff>9525</xdr:colOff>
      <xdr:row>4</xdr:row>
      <xdr:rowOff>9525</xdr:rowOff>
    </xdr:from>
    <xdr:ext cx="1905000" cy="1905000"/>
    <xdr:pic>
      <xdr:nvPicPr>
        <xdr:cNvPr id="5" name="First Page Clipping" descr="First Page Clipping">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0" y="0"/>
          <a:ext cx="0" cy="0"/>
        </a:xfrm>
        <a:prstGeom prst="rect">
          <a:avLst/>
        </a:prstGeom>
      </xdr:spPr>
    </xdr:pic>
    <xdr:clientData/>
  </xdr:oneCellAnchor>
  <xdr:oneCellAnchor>
    <xdr:from>
      <xdr:col>87</xdr:col>
      <xdr:colOff>9525</xdr:colOff>
      <xdr:row>5</xdr:row>
      <xdr:rowOff>9525</xdr:rowOff>
    </xdr:from>
    <xdr:ext cx="1905000" cy="1905000"/>
    <xdr:pic>
      <xdr:nvPicPr>
        <xdr:cNvPr id="6" name="First Page Clipping" descr="First Page Clipping">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0" y="0"/>
          <a:ext cx="0" cy="0"/>
        </a:xfrm>
        <a:prstGeom prst="rect">
          <a:avLst/>
        </a:prstGeom>
      </xdr:spPr>
    </xdr:pic>
    <xdr:clientData/>
  </xdr:oneCellAnchor>
  <xdr:oneCellAnchor>
    <xdr:from>
      <xdr:col>87</xdr:col>
      <xdr:colOff>9525</xdr:colOff>
      <xdr:row>6</xdr:row>
      <xdr:rowOff>9525</xdr:rowOff>
    </xdr:from>
    <xdr:ext cx="1905000" cy="1905000"/>
    <xdr:pic>
      <xdr:nvPicPr>
        <xdr:cNvPr id="7" name="First Page Clipping" descr="First Page Clipping">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6"/>
        <a:stretch>
          <a:fillRect/>
        </a:stretch>
      </xdr:blipFill>
      <xdr:spPr>
        <a:xfrm>
          <a:off x="0" y="0"/>
          <a:ext cx="0" cy="0"/>
        </a:xfrm>
        <a:prstGeom prst="rect">
          <a:avLst/>
        </a:prstGeom>
      </xdr:spPr>
    </xdr:pic>
    <xdr:clientData/>
  </xdr:oneCellAnchor>
  <xdr:oneCellAnchor>
    <xdr:from>
      <xdr:col>87</xdr:col>
      <xdr:colOff>9525</xdr:colOff>
      <xdr:row>7</xdr:row>
      <xdr:rowOff>9525</xdr:rowOff>
    </xdr:from>
    <xdr:ext cx="1905000" cy="1905000"/>
    <xdr:pic>
      <xdr:nvPicPr>
        <xdr:cNvPr id="8" name="First Page Clipping" descr="First Page Clipping">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7"/>
        <a:stretch>
          <a:fillRect/>
        </a:stretch>
      </xdr:blipFill>
      <xdr:spPr>
        <a:xfrm>
          <a:off x="0" y="0"/>
          <a:ext cx="0" cy="0"/>
        </a:xfrm>
        <a:prstGeom prst="rect">
          <a:avLst/>
        </a:prstGeom>
      </xdr:spPr>
    </xdr:pic>
    <xdr:clientData/>
  </xdr:oneCellAnchor>
  <xdr:oneCellAnchor>
    <xdr:from>
      <xdr:col>87</xdr:col>
      <xdr:colOff>9525</xdr:colOff>
      <xdr:row>8</xdr:row>
      <xdr:rowOff>9525</xdr:rowOff>
    </xdr:from>
    <xdr:ext cx="1905000" cy="1905000"/>
    <xdr:pic>
      <xdr:nvPicPr>
        <xdr:cNvPr id="9" name="First Page Clipping" descr="First Page Clipping">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8"/>
        <a:stretch>
          <a:fillRect/>
        </a:stretch>
      </xdr:blipFill>
      <xdr:spPr>
        <a:xfrm>
          <a:off x="0" y="0"/>
          <a:ext cx="0" cy="0"/>
        </a:xfrm>
        <a:prstGeom prst="rect">
          <a:avLst/>
        </a:prstGeom>
      </xdr:spPr>
    </xdr:pic>
    <xdr:clientData/>
  </xdr:oneCellAnchor>
  <xdr:oneCellAnchor>
    <xdr:from>
      <xdr:col>87</xdr:col>
      <xdr:colOff>9525</xdr:colOff>
      <xdr:row>9</xdr:row>
      <xdr:rowOff>9525</xdr:rowOff>
    </xdr:from>
    <xdr:ext cx="1905000" cy="1905000"/>
    <xdr:pic>
      <xdr:nvPicPr>
        <xdr:cNvPr id="10" name="First Page Clipping" descr="First Page Clipping">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9"/>
        <a:stretch>
          <a:fillRect/>
        </a:stretch>
      </xdr:blipFill>
      <xdr:spPr>
        <a:xfrm>
          <a:off x="0" y="0"/>
          <a:ext cx="0" cy="0"/>
        </a:xfrm>
        <a:prstGeom prst="rect">
          <a:avLst/>
        </a:prstGeom>
      </xdr:spPr>
    </xdr:pic>
    <xdr:clientData/>
  </xdr:oneCellAnchor>
  <xdr:oneCellAnchor>
    <xdr:from>
      <xdr:col>87</xdr:col>
      <xdr:colOff>9525</xdr:colOff>
      <xdr:row>10</xdr:row>
      <xdr:rowOff>9525</xdr:rowOff>
    </xdr:from>
    <xdr:ext cx="1905000" cy="1905000"/>
    <xdr:pic>
      <xdr:nvPicPr>
        <xdr:cNvPr id="11" name="First Page Clipping" descr="First Page Clipping">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10"/>
        <a:stretch>
          <a:fillRect/>
        </a:stretch>
      </xdr:blipFill>
      <xdr:spPr>
        <a:xfrm>
          <a:off x="0" y="0"/>
          <a:ext cx="0" cy="0"/>
        </a:xfrm>
        <a:prstGeom prst="rect">
          <a:avLst/>
        </a:prstGeom>
      </xdr:spPr>
    </xdr:pic>
    <xdr:clientData/>
  </xdr:oneCellAnchor>
  <xdr:oneCellAnchor>
    <xdr:from>
      <xdr:col>87</xdr:col>
      <xdr:colOff>9525</xdr:colOff>
      <xdr:row>11</xdr:row>
      <xdr:rowOff>9525</xdr:rowOff>
    </xdr:from>
    <xdr:ext cx="1905000" cy="1905000"/>
    <xdr:pic>
      <xdr:nvPicPr>
        <xdr:cNvPr id="12" name="First Page Clipping" descr="First Page Clipping">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1"/>
        <a:stretch>
          <a:fillRect/>
        </a:stretch>
      </xdr:blipFill>
      <xdr:spPr>
        <a:xfrm>
          <a:off x="0" y="0"/>
          <a:ext cx="0" cy="0"/>
        </a:xfrm>
        <a:prstGeom prst="rect">
          <a:avLst/>
        </a:prstGeom>
      </xdr:spPr>
    </xdr:pic>
    <xdr:clientData/>
  </xdr:oneCellAnchor>
  <xdr:oneCellAnchor>
    <xdr:from>
      <xdr:col>87</xdr:col>
      <xdr:colOff>9525</xdr:colOff>
      <xdr:row>12</xdr:row>
      <xdr:rowOff>9525</xdr:rowOff>
    </xdr:from>
    <xdr:ext cx="1905000" cy="1905000"/>
    <xdr:pic>
      <xdr:nvPicPr>
        <xdr:cNvPr id="13" name="First Page Clipping" descr="First Page Clipping">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2"/>
        <a:stretch>
          <a:fillRect/>
        </a:stretch>
      </xdr:blipFill>
      <xdr:spPr>
        <a:xfrm>
          <a:off x="0" y="0"/>
          <a:ext cx="0" cy="0"/>
        </a:xfrm>
        <a:prstGeom prst="rect">
          <a:avLst/>
        </a:prstGeom>
      </xdr:spPr>
    </xdr:pic>
    <xdr:clientData/>
  </xdr:oneCellAnchor>
  <xdr:oneCellAnchor>
    <xdr:from>
      <xdr:col>87</xdr:col>
      <xdr:colOff>9525</xdr:colOff>
      <xdr:row>13</xdr:row>
      <xdr:rowOff>9525</xdr:rowOff>
    </xdr:from>
    <xdr:ext cx="1905000" cy="1905000"/>
    <xdr:pic>
      <xdr:nvPicPr>
        <xdr:cNvPr id="14" name="First Page Clipping" descr="First Page Clipping">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3"/>
        <a:stretch>
          <a:fillRect/>
        </a:stretch>
      </xdr:blipFill>
      <xdr:spPr>
        <a:xfrm>
          <a:off x="0" y="0"/>
          <a:ext cx="0" cy="0"/>
        </a:xfrm>
        <a:prstGeom prst="rect">
          <a:avLst/>
        </a:prstGeom>
      </xdr:spPr>
    </xdr:pic>
    <xdr:clientData/>
  </xdr:oneCellAnchor>
  <xdr:oneCellAnchor>
    <xdr:from>
      <xdr:col>87</xdr:col>
      <xdr:colOff>9525</xdr:colOff>
      <xdr:row>14</xdr:row>
      <xdr:rowOff>9525</xdr:rowOff>
    </xdr:from>
    <xdr:ext cx="1905000" cy="1905000"/>
    <xdr:pic>
      <xdr:nvPicPr>
        <xdr:cNvPr id="15" name="First Page Clipping" descr="First Page Clipping">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4"/>
        <a:stretch>
          <a:fillRect/>
        </a:stretch>
      </xdr:blipFill>
      <xdr:spPr>
        <a:xfrm>
          <a:off x="0" y="0"/>
          <a:ext cx="0" cy="0"/>
        </a:xfrm>
        <a:prstGeom prst="rect">
          <a:avLst/>
        </a:prstGeom>
      </xdr:spPr>
    </xdr:pic>
    <xdr:clientData/>
  </xdr:oneCellAnchor>
  <xdr:oneCellAnchor>
    <xdr:from>
      <xdr:col>87</xdr:col>
      <xdr:colOff>9525</xdr:colOff>
      <xdr:row>15</xdr:row>
      <xdr:rowOff>9525</xdr:rowOff>
    </xdr:from>
    <xdr:ext cx="1905000" cy="1905000"/>
    <xdr:pic>
      <xdr:nvPicPr>
        <xdr:cNvPr id="16" name="First Page Clipping" descr="First Page Clipping">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5"/>
        <a:stretch>
          <a:fillRect/>
        </a:stretch>
      </xdr:blipFill>
      <xdr:spPr>
        <a:xfrm>
          <a:off x="0" y="0"/>
          <a:ext cx="0" cy="0"/>
        </a:xfrm>
        <a:prstGeom prst="rect">
          <a:avLst/>
        </a:prstGeom>
      </xdr:spPr>
    </xdr:pic>
    <xdr:clientData/>
  </xdr:oneCellAnchor>
  <xdr:oneCellAnchor>
    <xdr:from>
      <xdr:col>87</xdr:col>
      <xdr:colOff>9525</xdr:colOff>
      <xdr:row>16</xdr:row>
      <xdr:rowOff>9525</xdr:rowOff>
    </xdr:from>
    <xdr:ext cx="1905000" cy="1905000"/>
    <xdr:pic>
      <xdr:nvPicPr>
        <xdr:cNvPr id="17" name="First Page Clipping" descr="First Page Clipping">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6"/>
        <a:stretch>
          <a:fillRect/>
        </a:stretch>
      </xdr:blipFill>
      <xdr:spPr>
        <a:xfrm>
          <a:off x="0" y="0"/>
          <a:ext cx="0" cy="0"/>
        </a:xfrm>
        <a:prstGeom prst="rect">
          <a:avLst/>
        </a:prstGeom>
      </xdr:spPr>
    </xdr:pic>
    <xdr:clientData/>
  </xdr:oneCellAnchor>
  <xdr:oneCellAnchor>
    <xdr:from>
      <xdr:col>87</xdr:col>
      <xdr:colOff>9525</xdr:colOff>
      <xdr:row>18</xdr:row>
      <xdr:rowOff>9525</xdr:rowOff>
    </xdr:from>
    <xdr:ext cx="1905000" cy="1905000"/>
    <xdr:pic>
      <xdr:nvPicPr>
        <xdr:cNvPr id="18" name="First Page Clipping" descr="First Page Clipping">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7"/>
        <a:stretch>
          <a:fillRect/>
        </a:stretch>
      </xdr:blipFill>
      <xdr:spPr>
        <a:xfrm>
          <a:off x="0" y="0"/>
          <a:ext cx="0" cy="0"/>
        </a:xfrm>
        <a:prstGeom prst="rect">
          <a:avLst/>
        </a:prstGeom>
      </xdr:spPr>
    </xdr:pic>
    <xdr:clientData/>
  </xdr:oneCellAnchor>
  <xdr:oneCellAnchor>
    <xdr:from>
      <xdr:col>87</xdr:col>
      <xdr:colOff>9525</xdr:colOff>
      <xdr:row>21</xdr:row>
      <xdr:rowOff>9525</xdr:rowOff>
    </xdr:from>
    <xdr:ext cx="1905000" cy="1905000"/>
    <xdr:pic>
      <xdr:nvPicPr>
        <xdr:cNvPr id="19" name="First Page Clipping" descr="First Page Clipping">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8"/>
        <a:stretch>
          <a:fillRect/>
        </a:stretch>
      </xdr:blipFill>
      <xdr:spPr>
        <a:xfrm>
          <a:off x="0" y="0"/>
          <a:ext cx="0" cy="0"/>
        </a:xfrm>
        <a:prstGeom prst="rect">
          <a:avLst/>
        </a:prstGeom>
      </xdr:spPr>
    </xdr:pic>
    <xdr:clientData/>
  </xdr:oneCellAnchor>
  <xdr:oneCellAnchor>
    <xdr:from>
      <xdr:col>87</xdr:col>
      <xdr:colOff>9525</xdr:colOff>
      <xdr:row>22</xdr:row>
      <xdr:rowOff>9525</xdr:rowOff>
    </xdr:from>
    <xdr:ext cx="1905000" cy="1905000"/>
    <xdr:pic>
      <xdr:nvPicPr>
        <xdr:cNvPr id="20" name="First Page Clipping" descr="First Page Clipping">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9"/>
        <a:stretch>
          <a:fillRect/>
        </a:stretch>
      </xdr:blipFill>
      <xdr:spPr>
        <a:xfrm>
          <a:off x="0" y="0"/>
          <a:ext cx="0" cy="0"/>
        </a:xfrm>
        <a:prstGeom prst="rect">
          <a:avLst/>
        </a:prstGeom>
      </xdr:spPr>
    </xdr:pic>
    <xdr:clientData/>
  </xdr:oneCellAnchor>
  <xdr:oneCellAnchor>
    <xdr:from>
      <xdr:col>87</xdr:col>
      <xdr:colOff>9525</xdr:colOff>
      <xdr:row>23</xdr:row>
      <xdr:rowOff>9525</xdr:rowOff>
    </xdr:from>
    <xdr:ext cx="1905000" cy="1905000"/>
    <xdr:pic>
      <xdr:nvPicPr>
        <xdr:cNvPr id="21" name="First Page Clipping" descr="First Page Clipping">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20"/>
        <a:stretch>
          <a:fillRect/>
        </a:stretch>
      </xdr:blipFill>
      <xdr:spPr>
        <a:xfrm>
          <a:off x="0" y="0"/>
          <a:ext cx="0" cy="0"/>
        </a:xfrm>
        <a:prstGeom prst="rect">
          <a:avLst/>
        </a:prstGeom>
      </xdr:spPr>
    </xdr:pic>
    <xdr:clientData/>
  </xdr:oneCellAnchor>
  <xdr:oneCellAnchor>
    <xdr:from>
      <xdr:col>87</xdr:col>
      <xdr:colOff>9525</xdr:colOff>
      <xdr:row>24</xdr:row>
      <xdr:rowOff>9525</xdr:rowOff>
    </xdr:from>
    <xdr:ext cx="1905000" cy="1905000"/>
    <xdr:pic>
      <xdr:nvPicPr>
        <xdr:cNvPr id="22" name="First Page Clipping" descr="First Page Clipping">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21"/>
        <a:stretch>
          <a:fillRect/>
        </a:stretch>
      </xdr:blipFill>
      <xdr:spPr>
        <a:xfrm>
          <a:off x="0" y="0"/>
          <a:ext cx="0" cy="0"/>
        </a:xfrm>
        <a:prstGeom prst="rect">
          <a:avLst/>
        </a:prstGeom>
      </xdr:spPr>
    </xdr:pic>
    <xdr:clientData/>
  </xdr:oneCellAnchor>
  <xdr:oneCellAnchor>
    <xdr:from>
      <xdr:col>87</xdr:col>
      <xdr:colOff>9525</xdr:colOff>
      <xdr:row>25</xdr:row>
      <xdr:rowOff>9525</xdr:rowOff>
    </xdr:from>
    <xdr:ext cx="1905000" cy="1905000"/>
    <xdr:pic>
      <xdr:nvPicPr>
        <xdr:cNvPr id="23" name="First Page Clipping" descr="First Page Clipping">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22"/>
        <a:stretch>
          <a:fillRect/>
        </a:stretch>
      </xdr:blipFill>
      <xdr:spPr>
        <a:xfrm>
          <a:off x="0" y="0"/>
          <a:ext cx="0" cy="0"/>
        </a:xfrm>
        <a:prstGeom prst="rect">
          <a:avLst/>
        </a:prstGeom>
      </xdr:spPr>
    </xdr:pic>
    <xdr:clientData/>
  </xdr:oneCellAnchor>
  <xdr:oneCellAnchor>
    <xdr:from>
      <xdr:col>87</xdr:col>
      <xdr:colOff>9525</xdr:colOff>
      <xdr:row>26</xdr:row>
      <xdr:rowOff>9525</xdr:rowOff>
    </xdr:from>
    <xdr:ext cx="1905000" cy="1905000"/>
    <xdr:pic>
      <xdr:nvPicPr>
        <xdr:cNvPr id="24" name="First Page Clipping" descr="First Page Clipping">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23"/>
        <a:stretch>
          <a:fillRect/>
        </a:stretch>
      </xdr:blipFill>
      <xdr:spPr>
        <a:xfrm>
          <a:off x="0" y="0"/>
          <a:ext cx="0" cy="0"/>
        </a:xfrm>
        <a:prstGeom prst="rect">
          <a:avLst/>
        </a:prstGeom>
      </xdr:spPr>
    </xdr:pic>
    <xdr:clientData/>
  </xdr:oneCellAnchor>
  <xdr:oneCellAnchor>
    <xdr:from>
      <xdr:col>87</xdr:col>
      <xdr:colOff>9525</xdr:colOff>
      <xdr:row>27</xdr:row>
      <xdr:rowOff>9525</xdr:rowOff>
    </xdr:from>
    <xdr:ext cx="1905000" cy="1905000"/>
    <xdr:pic>
      <xdr:nvPicPr>
        <xdr:cNvPr id="25" name="First Page Clipping" descr="First Page Clipping">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24"/>
        <a:stretch>
          <a:fillRect/>
        </a:stretch>
      </xdr:blipFill>
      <xdr:spPr>
        <a:xfrm>
          <a:off x="0" y="0"/>
          <a:ext cx="0" cy="0"/>
        </a:xfrm>
        <a:prstGeom prst="rect">
          <a:avLst/>
        </a:prstGeom>
      </xdr:spPr>
    </xdr:pic>
    <xdr:clientData/>
  </xdr:oneCellAnchor>
  <xdr:oneCellAnchor>
    <xdr:from>
      <xdr:col>87</xdr:col>
      <xdr:colOff>9525</xdr:colOff>
      <xdr:row>28</xdr:row>
      <xdr:rowOff>9525</xdr:rowOff>
    </xdr:from>
    <xdr:ext cx="1905000" cy="1905000"/>
    <xdr:pic>
      <xdr:nvPicPr>
        <xdr:cNvPr id="26" name="First Page Clipping" descr="First Page Clipping">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25"/>
        <a:stretch>
          <a:fillRect/>
        </a:stretch>
      </xdr:blipFill>
      <xdr:spPr>
        <a:xfrm>
          <a:off x="0" y="0"/>
          <a:ext cx="0" cy="0"/>
        </a:xfrm>
        <a:prstGeom prst="rect">
          <a:avLst/>
        </a:prstGeom>
      </xdr:spPr>
    </xdr:pic>
    <xdr:clientData/>
  </xdr:oneCellAnchor>
  <xdr:oneCellAnchor>
    <xdr:from>
      <xdr:col>87</xdr:col>
      <xdr:colOff>9525</xdr:colOff>
      <xdr:row>29</xdr:row>
      <xdr:rowOff>9525</xdr:rowOff>
    </xdr:from>
    <xdr:ext cx="1905000" cy="1905000"/>
    <xdr:pic>
      <xdr:nvPicPr>
        <xdr:cNvPr id="27" name="First Page Clipping" descr="First Page Clipping">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26"/>
        <a:stretch>
          <a:fillRect/>
        </a:stretch>
      </xdr:blipFill>
      <xdr:spPr>
        <a:xfrm>
          <a:off x="0" y="0"/>
          <a:ext cx="0" cy="0"/>
        </a:xfrm>
        <a:prstGeom prst="rect">
          <a:avLst/>
        </a:prstGeom>
      </xdr:spPr>
    </xdr:pic>
    <xdr:clientData/>
  </xdr:oneCellAnchor>
  <xdr:oneCellAnchor>
    <xdr:from>
      <xdr:col>87</xdr:col>
      <xdr:colOff>9525</xdr:colOff>
      <xdr:row>30</xdr:row>
      <xdr:rowOff>9525</xdr:rowOff>
    </xdr:from>
    <xdr:ext cx="1905000" cy="1905000"/>
    <xdr:pic>
      <xdr:nvPicPr>
        <xdr:cNvPr id="28" name="First Page Clipping" descr="First Page Clipping">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27"/>
        <a:stretch>
          <a:fillRect/>
        </a:stretch>
      </xdr:blipFill>
      <xdr:spPr>
        <a:xfrm>
          <a:off x="0" y="0"/>
          <a:ext cx="0" cy="0"/>
        </a:xfrm>
        <a:prstGeom prst="rect">
          <a:avLst/>
        </a:prstGeom>
      </xdr:spPr>
    </xdr:pic>
    <xdr:clientData/>
  </xdr:oneCellAnchor>
  <xdr:oneCellAnchor>
    <xdr:from>
      <xdr:col>87</xdr:col>
      <xdr:colOff>9525</xdr:colOff>
      <xdr:row>31</xdr:row>
      <xdr:rowOff>9525</xdr:rowOff>
    </xdr:from>
    <xdr:ext cx="1905000" cy="1905000"/>
    <xdr:pic>
      <xdr:nvPicPr>
        <xdr:cNvPr id="29" name="First Page Clipping" descr="First Page Clipping">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27"/>
        <a:stretch>
          <a:fillRect/>
        </a:stretch>
      </xdr:blipFill>
      <xdr:spPr>
        <a:xfrm>
          <a:off x="0" y="0"/>
          <a:ext cx="0" cy="0"/>
        </a:xfrm>
        <a:prstGeom prst="rect">
          <a:avLst/>
        </a:prstGeom>
      </xdr:spPr>
    </xdr:pic>
    <xdr:clientData/>
  </xdr:oneCellAnchor>
  <xdr:oneCellAnchor>
    <xdr:from>
      <xdr:col>87</xdr:col>
      <xdr:colOff>9525</xdr:colOff>
      <xdr:row>32</xdr:row>
      <xdr:rowOff>9525</xdr:rowOff>
    </xdr:from>
    <xdr:ext cx="1905000" cy="1905000"/>
    <xdr:pic>
      <xdr:nvPicPr>
        <xdr:cNvPr id="30" name="First Page Clipping" descr="First Page Clipping">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28"/>
        <a:stretch>
          <a:fillRect/>
        </a:stretch>
      </xdr:blipFill>
      <xdr:spPr>
        <a:xfrm>
          <a:off x="0" y="0"/>
          <a:ext cx="0" cy="0"/>
        </a:xfrm>
        <a:prstGeom prst="rect">
          <a:avLst/>
        </a:prstGeom>
      </xdr:spPr>
    </xdr:pic>
    <xdr:clientData/>
  </xdr:oneCellAnchor>
  <xdr:oneCellAnchor>
    <xdr:from>
      <xdr:col>87</xdr:col>
      <xdr:colOff>9525</xdr:colOff>
      <xdr:row>33</xdr:row>
      <xdr:rowOff>9525</xdr:rowOff>
    </xdr:from>
    <xdr:ext cx="1905000" cy="1905000"/>
    <xdr:pic>
      <xdr:nvPicPr>
        <xdr:cNvPr id="31" name="First Page Clipping" descr="First Page Clipping">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29"/>
        <a:stretch>
          <a:fillRect/>
        </a:stretch>
      </xdr:blipFill>
      <xdr:spPr>
        <a:xfrm>
          <a:off x="0" y="0"/>
          <a:ext cx="0" cy="0"/>
        </a:xfrm>
        <a:prstGeom prst="rect">
          <a:avLst/>
        </a:prstGeom>
      </xdr:spPr>
    </xdr:pic>
    <xdr:clientData/>
  </xdr:oneCellAnchor>
  <xdr:oneCellAnchor>
    <xdr:from>
      <xdr:col>87</xdr:col>
      <xdr:colOff>9525</xdr:colOff>
      <xdr:row>34</xdr:row>
      <xdr:rowOff>9525</xdr:rowOff>
    </xdr:from>
    <xdr:ext cx="1905000" cy="1905000"/>
    <xdr:pic>
      <xdr:nvPicPr>
        <xdr:cNvPr id="32" name="First Page Clipping" descr="First Page Clipping">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30"/>
        <a:stretch>
          <a:fillRect/>
        </a:stretch>
      </xdr:blipFill>
      <xdr:spPr>
        <a:xfrm>
          <a:off x="0" y="0"/>
          <a:ext cx="0" cy="0"/>
        </a:xfrm>
        <a:prstGeom prst="rect">
          <a:avLst/>
        </a:prstGeom>
      </xdr:spPr>
    </xdr:pic>
    <xdr:clientData/>
  </xdr:oneCellAnchor>
  <xdr:oneCellAnchor>
    <xdr:from>
      <xdr:col>87</xdr:col>
      <xdr:colOff>9525</xdr:colOff>
      <xdr:row>35</xdr:row>
      <xdr:rowOff>9525</xdr:rowOff>
    </xdr:from>
    <xdr:ext cx="1905000" cy="1905000"/>
    <xdr:pic>
      <xdr:nvPicPr>
        <xdr:cNvPr id="33" name="First Page Clipping" descr="First Page Clipping">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31"/>
        <a:stretch>
          <a:fillRect/>
        </a:stretch>
      </xdr:blipFill>
      <xdr:spPr>
        <a:xfrm>
          <a:off x="0" y="0"/>
          <a:ext cx="0" cy="0"/>
        </a:xfrm>
        <a:prstGeom prst="rect">
          <a:avLst/>
        </a:prstGeom>
      </xdr:spPr>
    </xdr:pic>
    <xdr:clientData/>
  </xdr:oneCellAnchor>
  <xdr:oneCellAnchor>
    <xdr:from>
      <xdr:col>87</xdr:col>
      <xdr:colOff>9525</xdr:colOff>
      <xdr:row>36</xdr:row>
      <xdr:rowOff>9525</xdr:rowOff>
    </xdr:from>
    <xdr:ext cx="1905000" cy="1905000"/>
    <xdr:pic>
      <xdr:nvPicPr>
        <xdr:cNvPr id="34" name="First Page Clipping" descr="First Page Clipping">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2"/>
        <a:stretch>
          <a:fillRect/>
        </a:stretch>
      </xdr:blipFill>
      <xdr:spPr>
        <a:xfrm>
          <a:off x="0" y="0"/>
          <a:ext cx="0" cy="0"/>
        </a:xfrm>
        <a:prstGeom prst="rect">
          <a:avLst/>
        </a:prstGeom>
      </xdr:spPr>
    </xdr:pic>
    <xdr:clientData/>
  </xdr:oneCellAnchor>
  <xdr:oneCellAnchor>
    <xdr:from>
      <xdr:col>87</xdr:col>
      <xdr:colOff>9525</xdr:colOff>
      <xdr:row>37</xdr:row>
      <xdr:rowOff>9525</xdr:rowOff>
    </xdr:from>
    <xdr:ext cx="1905000" cy="1905000"/>
    <xdr:pic>
      <xdr:nvPicPr>
        <xdr:cNvPr id="35" name="First Page Clipping" descr="First Page Clipping">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33"/>
        <a:stretch>
          <a:fillRect/>
        </a:stretch>
      </xdr:blipFill>
      <xdr:spPr>
        <a:xfrm>
          <a:off x="0" y="0"/>
          <a:ext cx="0" cy="0"/>
        </a:xfrm>
        <a:prstGeom prst="rect">
          <a:avLst/>
        </a:prstGeom>
      </xdr:spPr>
    </xdr:pic>
    <xdr:clientData/>
  </xdr:oneCellAnchor>
  <xdr:oneCellAnchor>
    <xdr:from>
      <xdr:col>87</xdr:col>
      <xdr:colOff>9525</xdr:colOff>
      <xdr:row>38</xdr:row>
      <xdr:rowOff>9525</xdr:rowOff>
    </xdr:from>
    <xdr:ext cx="1905000" cy="1905000"/>
    <xdr:pic>
      <xdr:nvPicPr>
        <xdr:cNvPr id="36" name="First Page Clipping" descr="First Page Clipping">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4"/>
        <a:stretch>
          <a:fillRect/>
        </a:stretch>
      </xdr:blipFill>
      <xdr:spPr>
        <a:xfrm>
          <a:off x="0" y="0"/>
          <a:ext cx="0" cy="0"/>
        </a:xfrm>
        <a:prstGeom prst="rect">
          <a:avLst/>
        </a:prstGeom>
      </xdr:spPr>
    </xdr:pic>
    <xdr:clientData/>
  </xdr:oneCellAnchor>
  <xdr:oneCellAnchor>
    <xdr:from>
      <xdr:col>87</xdr:col>
      <xdr:colOff>9525</xdr:colOff>
      <xdr:row>39</xdr:row>
      <xdr:rowOff>9525</xdr:rowOff>
    </xdr:from>
    <xdr:ext cx="1905000" cy="1905000"/>
    <xdr:pic>
      <xdr:nvPicPr>
        <xdr:cNvPr id="37" name="First Page Clipping" descr="First Page Clipping">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35"/>
        <a:stretch>
          <a:fillRect/>
        </a:stretch>
      </xdr:blipFill>
      <xdr:spPr>
        <a:xfrm>
          <a:off x="0" y="0"/>
          <a:ext cx="0" cy="0"/>
        </a:xfrm>
        <a:prstGeom prst="rect">
          <a:avLst/>
        </a:prstGeom>
      </xdr:spPr>
    </xdr:pic>
    <xdr:clientData/>
  </xdr:oneCellAnchor>
  <xdr:oneCellAnchor>
    <xdr:from>
      <xdr:col>87</xdr:col>
      <xdr:colOff>9525</xdr:colOff>
      <xdr:row>40</xdr:row>
      <xdr:rowOff>9525</xdr:rowOff>
    </xdr:from>
    <xdr:ext cx="1905000" cy="1905000"/>
    <xdr:pic>
      <xdr:nvPicPr>
        <xdr:cNvPr id="38" name="First Page Clipping" descr="First Page Clipping">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36"/>
        <a:stretch>
          <a:fillRect/>
        </a:stretch>
      </xdr:blipFill>
      <xdr:spPr>
        <a:xfrm>
          <a:off x="0" y="0"/>
          <a:ext cx="0" cy="0"/>
        </a:xfrm>
        <a:prstGeom prst="rect">
          <a:avLst/>
        </a:prstGeom>
      </xdr:spPr>
    </xdr:pic>
    <xdr:clientData/>
  </xdr:oneCellAnchor>
  <xdr:oneCellAnchor>
    <xdr:from>
      <xdr:col>87</xdr:col>
      <xdr:colOff>9525</xdr:colOff>
      <xdr:row>41</xdr:row>
      <xdr:rowOff>9525</xdr:rowOff>
    </xdr:from>
    <xdr:ext cx="1905000" cy="1905000"/>
    <xdr:pic>
      <xdr:nvPicPr>
        <xdr:cNvPr id="39" name="First Page Clipping" descr="First Page Clipping">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37"/>
        <a:stretch>
          <a:fillRect/>
        </a:stretch>
      </xdr:blipFill>
      <xdr:spPr>
        <a:xfrm>
          <a:off x="0" y="0"/>
          <a:ext cx="0" cy="0"/>
        </a:xfrm>
        <a:prstGeom prst="rect">
          <a:avLst/>
        </a:prstGeom>
      </xdr:spPr>
    </xdr:pic>
    <xdr:clientData/>
  </xdr:oneCellAnchor>
  <xdr:oneCellAnchor>
    <xdr:from>
      <xdr:col>87</xdr:col>
      <xdr:colOff>9525</xdr:colOff>
      <xdr:row>42</xdr:row>
      <xdr:rowOff>9525</xdr:rowOff>
    </xdr:from>
    <xdr:ext cx="1905000" cy="1905000"/>
    <xdr:pic>
      <xdr:nvPicPr>
        <xdr:cNvPr id="40" name="First Page Clipping" descr="First Page Clipping">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38"/>
        <a:stretch>
          <a:fillRect/>
        </a:stretch>
      </xdr:blipFill>
      <xdr:spPr>
        <a:xfrm>
          <a:off x="0" y="0"/>
          <a:ext cx="0" cy="0"/>
        </a:xfrm>
        <a:prstGeom prst="rect">
          <a:avLst/>
        </a:prstGeom>
      </xdr:spPr>
    </xdr:pic>
    <xdr:clientData/>
  </xdr:oneCellAnchor>
  <xdr:oneCellAnchor>
    <xdr:from>
      <xdr:col>87</xdr:col>
      <xdr:colOff>9525</xdr:colOff>
      <xdr:row>43</xdr:row>
      <xdr:rowOff>9525</xdr:rowOff>
    </xdr:from>
    <xdr:ext cx="1905000" cy="1905000"/>
    <xdr:pic>
      <xdr:nvPicPr>
        <xdr:cNvPr id="41" name="First Page Clipping" descr="First Page Clipping">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39"/>
        <a:stretch>
          <a:fillRect/>
        </a:stretch>
      </xdr:blipFill>
      <xdr:spPr>
        <a:xfrm>
          <a:off x="0" y="0"/>
          <a:ext cx="0" cy="0"/>
        </a:xfrm>
        <a:prstGeom prst="rect">
          <a:avLst/>
        </a:prstGeom>
      </xdr:spPr>
    </xdr:pic>
    <xdr:clientData/>
  </xdr:oneCellAnchor>
  <xdr:oneCellAnchor>
    <xdr:from>
      <xdr:col>87</xdr:col>
      <xdr:colOff>9525</xdr:colOff>
      <xdr:row>44</xdr:row>
      <xdr:rowOff>9525</xdr:rowOff>
    </xdr:from>
    <xdr:ext cx="1905000" cy="1905000"/>
    <xdr:pic>
      <xdr:nvPicPr>
        <xdr:cNvPr id="42" name="First Page Clipping" descr="First Page Clipping">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40"/>
        <a:stretch>
          <a:fillRect/>
        </a:stretch>
      </xdr:blipFill>
      <xdr:spPr>
        <a:xfrm>
          <a:off x="0" y="0"/>
          <a:ext cx="0" cy="0"/>
        </a:xfrm>
        <a:prstGeom prst="rect">
          <a:avLst/>
        </a:prstGeom>
      </xdr:spPr>
    </xdr:pic>
    <xdr:clientData/>
  </xdr:oneCellAnchor>
  <xdr:oneCellAnchor>
    <xdr:from>
      <xdr:col>87</xdr:col>
      <xdr:colOff>9525</xdr:colOff>
      <xdr:row>45</xdr:row>
      <xdr:rowOff>9525</xdr:rowOff>
    </xdr:from>
    <xdr:ext cx="1905000" cy="1905000"/>
    <xdr:pic>
      <xdr:nvPicPr>
        <xdr:cNvPr id="43" name="First Page Clipping" descr="First Page Clipping">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41"/>
        <a:stretch>
          <a:fillRect/>
        </a:stretch>
      </xdr:blipFill>
      <xdr:spPr>
        <a:xfrm>
          <a:off x="0" y="0"/>
          <a:ext cx="0" cy="0"/>
        </a:xfrm>
        <a:prstGeom prst="rect">
          <a:avLst/>
        </a:prstGeom>
      </xdr:spPr>
    </xdr:pic>
    <xdr:clientData/>
  </xdr:oneCellAnchor>
  <xdr:oneCellAnchor>
    <xdr:from>
      <xdr:col>87</xdr:col>
      <xdr:colOff>9525</xdr:colOff>
      <xdr:row>46</xdr:row>
      <xdr:rowOff>9525</xdr:rowOff>
    </xdr:from>
    <xdr:ext cx="1905000" cy="1905000"/>
    <xdr:pic>
      <xdr:nvPicPr>
        <xdr:cNvPr id="44" name="First Page Clipping" descr="First Page Clipping">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42"/>
        <a:stretch>
          <a:fillRect/>
        </a:stretch>
      </xdr:blipFill>
      <xdr:spPr>
        <a:xfrm>
          <a:off x="0" y="0"/>
          <a:ext cx="0" cy="0"/>
        </a:xfrm>
        <a:prstGeom prst="rect">
          <a:avLst/>
        </a:prstGeom>
      </xdr:spPr>
    </xdr:pic>
    <xdr:clientData/>
  </xdr:oneCellAnchor>
  <xdr:oneCellAnchor>
    <xdr:from>
      <xdr:col>87</xdr:col>
      <xdr:colOff>9525</xdr:colOff>
      <xdr:row>47</xdr:row>
      <xdr:rowOff>9525</xdr:rowOff>
    </xdr:from>
    <xdr:ext cx="1905000" cy="1905000"/>
    <xdr:pic>
      <xdr:nvPicPr>
        <xdr:cNvPr id="45" name="First Page Clipping" descr="First Page Clipping">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43"/>
        <a:stretch>
          <a:fillRect/>
        </a:stretch>
      </xdr:blipFill>
      <xdr:spPr>
        <a:xfrm>
          <a:off x="0" y="0"/>
          <a:ext cx="0" cy="0"/>
        </a:xfrm>
        <a:prstGeom prst="rect">
          <a:avLst/>
        </a:prstGeom>
      </xdr:spPr>
    </xdr:pic>
    <xdr:clientData/>
  </xdr:oneCellAnchor>
  <xdr:oneCellAnchor>
    <xdr:from>
      <xdr:col>87</xdr:col>
      <xdr:colOff>9525</xdr:colOff>
      <xdr:row>48</xdr:row>
      <xdr:rowOff>9525</xdr:rowOff>
    </xdr:from>
    <xdr:ext cx="1905000" cy="1905000"/>
    <xdr:pic>
      <xdr:nvPicPr>
        <xdr:cNvPr id="46" name="First Page Clipping" descr="First Page Clipping">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44"/>
        <a:stretch>
          <a:fillRect/>
        </a:stretch>
      </xdr:blipFill>
      <xdr:spPr>
        <a:xfrm>
          <a:off x="0" y="0"/>
          <a:ext cx="0" cy="0"/>
        </a:xfrm>
        <a:prstGeom prst="rect">
          <a:avLst/>
        </a:prstGeom>
      </xdr:spPr>
    </xdr:pic>
    <xdr:clientData/>
  </xdr:oneCellAnchor>
  <xdr:oneCellAnchor>
    <xdr:from>
      <xdr:col>87</xdr:col>
      <xdr:colOff>9525</xdr:colOff>
      <xdr:row>49</xdr:row>
      <xdr:rowOff>9525</xdr:rowOff>
    </xdr:from>
    <xdr:ext cx="1905000" cy="1905000"/>
    <xdr:pic>
      <xdr:nvPicPr>
        <xdr:cNvPr id="47" name="First Page Clipping" descr="First Page Clipping">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45"/>
        <a:stretch>
          <a:fillRect/>
        </a:stretch>
      </xdr:blipFill>
      <xdr:spPr>
        <a:xfrm>
          <a:off x="0" y="0"/>
          <a:ext cx="0" cy="0"/>
        </a:xfrm>
        <a:prstGeom prst="rect">
          <a:avLst/>
        </a:prstGeom>
      </xdr:spPr>
    </xdr:pic>
    <xdr:clientData/>
  </xdr:oneCellAnchor>
  <xdr:oneCellAnchor>
    <xdr:from>
      <xdr:col>87</xdr:col>
      <xdr:colOff>9525</xdr:colOff>
      <xdr:row>50</xdr:row>
      <xdr:rowOff>9525</xdr:rowOff>
    </xdr:from>
    <xdr:ext cx="1905000" cy="1905000"/>
    <xdr:pic>
      <xdr:nvPicPr>
        <xdr:cNvPr id="48" name="First Page Clipping" descr="First Page Clipping">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46"/>
        <a:stretch>
          <a:fillRect/>
        </a:stretch>
      </xdr:blipFill>
      <xdr:spPr>
        <a:xfrm>
          <a:off x="0" y="0"/>
          <a:ext cx="0" cy="0"/>
        </a:xfrm>
        <a:prstGeom prst="rect">
          <a:avLst/>
        </a:prstGeom>
      </xdr:spPr>
    </xdr:pic>
    <xdr:clientData/>
  </xdr:oneCellAnchor>
  <xdr:oneCellAnchor>
    <xdr:from>
      <xdr:col>87</xdr:col>
      <xdr:colOff>9525</xdr:colOff>
      <xdr:row>51</xdr:row>
      <xdr:rowOff>9525</xdr:rowOff>
    </xdr:from>
    <xdr:ext cx="1905000" cy="1905000"/>
    <xdr:pic>
      <xdr:nvPicPr>
        <xdr:cNvPr id="49" name="First Page Clipping" descr="First Page Clipping">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7"/>
        <a:stretch>
          <a:fillRect/>
        </a:stretch>
      </xdr:blipFill>
      <xdr:spPr>
        <a:xfrm>
          <a:off x="0" y="0"/>
          <a:ext cx="0" cy="0"/>
        </a:xfrm>
        <a:prstGeom prst="rect">
          <a:avLst/>
        </a:prstGeom>
      </xdr:spPr>
    </xdr:pic>
    <xdr:clientData/>
  </xdr:oneCellAnchor>
  <xdr:oneCellAnchor>
    <xdr:from>
      <xdr:col>87</xdr:col>
      <xdr:colOff>9525</xdr:colOff>
      <xdr:row>52</xdr:row>
      <xdr:rowOff>9525</xdr:rowOff>
    </xdr:from>
    <xdr:ext cx="1905000" cy="1905000"/>
    <xdr:pic>
      <xdr:nvPicPr>
        <xdr:cNvPr id="50" name="First Page Clipping" descr="First Page Clipping">
          <a:extLst>
            <a:ext uri="{FF2B5EF4-FFF2-40B4-BE49-F238E27FC236}">
              <a16:creationId xmlns:a16="http://schemas.microsoft.com/office/drawing/2014/main" id="{00000000-0008-0000-0000-000032000000}"/>
            </a:ext>
          </a:extLst>
        </xdr:cNvPr>
        <xdr:cNvPicPr>
          <a:picLocks noChangeAspect="1"/>
        </xdr:cNvPicPr>
      </xdr:nvPicPr>
      <xdr:blipFill>
        <a:blip xmlns:r="http://schemas.openxmlformats.org/officeDocument/2006/relationships" r:embed="rId48"/>
        <a:stretch>
          <a:fillRect/>
        </a:stretch>
      </xdr:blipFill>
      <xdr:spPr>
        <a:xfrm>
          <a:off x="0" y="0"/>
          <a:ext cx="0" cy="0"/>
        </a:xfrm>
        <a:prstGeom prst="rect">
          <a:avLst/>
        </a:prstGeom>
      </xdr:spPr>
    </xdr:pic>
    <xdr:clientData/>
  </xdr:oneCellAnchor>
  <xdr:oneCellAnchor>
    <xdr:from>
      <xdr:col>87</xdr:col>
      <xdr:colOff>9525</xdr:colOff>
      <xdr:row>53</xdr:row>
      <xdr:rowOff>9525</xdr:rowOff>
    </xdr:from>
    <xdr:ext cx="1905000" cy="1905000"/>
    <xdr:pic>
      <xdr:nvPicPr>
        <xdr:cNvPr id="51" name="First Page Clipping" descr="First Page Clipping">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49"/>
        <a:stretch>
          <a:fillRect/>
        </a:stretch>
      </xdr:blipFill>
      <xdr:spPr>
        <a:xfrm>
          <a:off x="0" y="0"/>
          <a:ext cx="0" cy="0"/>
        </a:xfrm>
        <a:prstGeom prst="rect">
          <a:avLst/>
        </a:prstGeom>
      </xdr:spPr>
    </xdr:pic>
    <xdr:clientData/>
  </xdr:oneCellAnchor>
  <xdr:oneCellAnchor>
    <xdr:from>
      <xdr:col>87</xdr:col>
      <xdr:colOff>9525</xdr:colOff>
      <xdr:row>54</xdr:row>
      <xdr:rowOff>9525</xdr:rowOff>
    </xdr:from>
    <xdr:ext cx="1905000" cy="1905000"/>
    <xdr:pic>
      <xdr:nvPicPr>
        <xdr:cNvPr id="52" name="First Page Clipping" descr="First Page Clipping">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50"/>
        <a:stretch>
          <a:fillRect/>
        </a:stretch>
      </xdr:blipFill>
      <xdr:spPr>
        <a:xfrm>
          <a:off x="0" y="0"/>
          <a:ext cx="0" cy="0"/>
        </a:xfrm>
        <a:prstGeom prst="rect">
          <a:avLst/>
        </a:prstGeom>
      </xdr:spPr>
    </xdr:pic>
    <xdr:clientData/>
  </xdr:oneCellAnchor>
  <xdr:oneCellAnchor>
    <xdr:from>
      <xdr:col>87</xdr:col>
      <xdr:colOff>9525</xdr:colOff>
      <xdr:row>55</xdr:row>
      <xdr:rowOff>9525</xdr:rowOff>
    </xdr:from>
    <xdr:ext cx="1905000" cy="1905000"/>
    <xdr:pic>
      <xdr:nvPicPr>
        <xdr:cNvPr id="53" name="First Page Clipping" descr="First Page Clipping">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40"/>
        <a:stretch>
          <a:fillRect/>
        </a:stretch>
      </xdr:blipFill>
      <xdr:spPr>
        <a:xfrm>
          <a:off x="0" y="0"/>
          <a:ext cx="0" cy="0"/>
        </a:xfrm>
        <a:prstGeom prst="rect">
          <a:avLst/>
        </a:prstGeom>
      </xdr:spPr>
    </xdr:pic>
    <xdr:clientData/>
  </xdr:oneCellAnchor>
  <xdr:oneCellAnchor>
    <xdr:from>
      <xdr:col>87</xdr:col>
      <xdr:colOff>9525</xdr:colOff>
      <xdr:row>56</xdr:row>
      <xdr:rowOff>9525</xdr:rowOff>
    </xdr:from>
    <xdr:ext cx="1905000" cy="1905000"/>
    <xdr:pic>
      <xdr:nvPicPr>
        <xdr:cNvPr id="54" name="First Page Clipping" descr="First Page Clipping">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51"/>
        <a:stretch>
          <a:fillRect/>
        </a:stretch>
      </xdr:blipFill>
      <xdr:spPr>
        <a:xfrm>
          <a:off x="0" y="0"/>
          <a:ext cx="0" cy="0"/>
        </a:xfrm>
        <a:prstGeom prst="rect">
          <a:avLst/>
        </a:prstGeom>
      </xdr:spPr>
    </xdr:pic>
    <xdr:clientData/>
  </xdr:oneCellAnchor>
  <xdr:oneCellAnchor>
    <xdr:from>
      <xdr:col>87</xdr:col>
      <xdr:colOff>9525</xdr:colOff>
      <xdr:row>57</xdr:row>
      <xdr:rowOff>9525</xdr:rowOff>
    </xdr:from>
    <xdr:ext cx="1905000" cy="1905000"/>
    <xdr:pic>
      <xdr:nvPicPr>
        <xdr:cNvPr id="55" name="First Page Clipping" descr="First Page Clipping">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52"/>
        <a:stretch>
          <a:fillRect/>
        </a:stretch>
      </xdr:blipFill>
      <xdr:spPr>
        <a:xfrm>
          <a:off x="0" y="0"/>
          <a:ext cx="0" cy="0"/>
        </a:xfrm>
        <a:prstGeom prst="rect">
          <a:avLst/>
        </a:prstGeom>
      </xdr:spPr>
    </xdr:pic>
    <xdr:clientData/>
  </xdr:oneCellAnchor>
  <xdr:oneCellAnchor>
    <xdr:from>
      <xdr:col>87</xdr:col>
      <xdr:colOff>9525</xdr:colOff>
      <xdr:row>58</xdr:row>
      <xdr:rowOff>9525</xdr:rowOff>
    </xdr:from>
    <xdr:ext cx="1905000" cy="1905000"/>
    <xdr:pic>
      <xdr:nvPicPr>
        <xdr:cNvPr id="56" name="First Page Clipping" descr="First Page Clipping">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53"/>
        <a:stretch>
          <a:fillRect/>
        </a:stretch>
      </xdr:blipFill>
      <xdr:spPr>
        <a:xfrm>
          <a:off x="0" y="0"/>
          <a:ext cx="0" cy="0"/>
        </a:xfrm>
        <a:prstGeom prst="rect">
          <a:avLst/>
        </a:prstGeom>
      </xdr:spPr>
    </xdr:pic>
    <xdr:clientData/>
  </xdr:oneCellAnchor>
  <xdr:oneCellAnchor>
    <xdr:from>
      <xdr:col>87</xdr:col>
      <xdr:colOff>9525</xdr:colOff>
      <xdr:row>59</xdr:row>
      <xdr:rowOff>9525</xdr:rowOff>
    </xdr:from>
    <xdr:ext cx="1905000" cy="1905000"/>
    <xdr:pic>
      <xdr:nvPicPr>
        <xdr:cNvPr id="57" name="First Page Clipping" descr="First Page Clipping">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54"/>
        <a:stretch>
          <a:fillRect/>
        </a:stretch>
      </xdr:blipFill>
      <xdr:spPr>
        <a:xfrm>
          <a:off x="0" y="0"/>
          <a:ext cx="0" cy="0"/>
        </a:xfrm>
        <a:prstGeom prst="rect">
          <a:avLst/>
        </a:prstGeom>
      </xdr:spPr>
    </xdr:pic>
    <xdr:clientData/>
  </xdr:oneCellAnchor>
  <xdr:oneCellAnchor>
    <xdr:from>
      <xdr:col>87</xdr:col>
      <xdr:colOff>9525</xdr:colOff>
      <xdr:row>60</xdr:row>
      <xdr:rowOff>9525</xdr:rowOff>
    </xdr:from>
    <xdr:ext cx="1905000" cy="1905000"/>
    <xdr:pic>
      <xdr:nvPicPr>
        <xdr:cNvPr id="58" name="First Page Clipping" descr="First Page Clipping">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55"/>
        <a:stretch>
          <a:fillRect/>
        </a:stretch>
      </xdr:blipFill>
      <xdr:spPr>
        <a:xfrm>
          <a:off x="0" y="0"/>
          <a:ext cx="0" cy="0"/>
        </a:xfrm>
        <a:prstGeom prst="rect">
          <a:avLst/>
        </a:prstGeom>
      </xdr:spPr>
    </xdr:pic>
    <xdr:clientData/>
  </xdr:oneCellAnchor>
  <xdr:oneCellAnchor>
    <xdr:from>
      <xdr:col>87</xdr:col>
      <xdr:colOff>9525</xdr:colOff>
      <xdr:row>61</xdr:row>
      <xdr:rowOff>9525</xdr:rowOff>
    </xdr:from>
    <xdr:ext cx="1905000" cy="1905000"/>
    <xdr:pic>
      <xdr:nvPicPr>
        <xdr:cNvPr id="59" name="First Page Clipping" descr="First Page Clipping">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56"/>
        <a:stretch>
          <a:fillRect/>
        </a:stretch>
      </xdr:blipFill>
      <xdr:spPr>
        <a:xfrm>
          <a:off x="0" y="0"/>
          <a:ext cx="0" cy="0"/>
        </a:xfrm>
        <a:prstGeom prst="rect">
          <a:avLst/>
        </a:prstGeom>
      </xdr:spPr>
    </xdr:pic>
    <xdr:clientData/>
  </xdr:oneCellAnchor>
  <xdr:oneCellAnchor>
    <xdr:from>
      <xdr:col>87</xdr:col>
      <xdr:colOff>9525</xdr:colOff>
      <xdr:row>62</xdr:row>
      <xdr:rowOff>9525</xdr:rowOff>
    </xdr:from>
    <xdr:ext cx="1905000" cy="1905000"/>
    <xdr:pic>
      <xdr:nvPicPr>
        <xdr:cNvPr id="60" name="First Page Clipping" descr="First Page Clipping">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57"/>
        <a:stretch>
          <a:fillRect/>
        </a:stretch>
      </xdr:blipFill>
      <xdr:spPr>
        <a:xfrm>
          <a:off x="0" y="0"/>
          <a:ext cx="0" cy="0"/>
        </a:xfrm>
        <a:prstGeom prst="rect">
          <a:avLst/>
        </a:prstGeom>
      </xdr:spPr>
    </xdr:pic>
    <xdr:clientData/>
  </xdr:oneCellAnchor>
  <xdr:oneCellAnchor>
    <xdr:from>
      <xdr:col>87</xdr:col>
      <xdr:colOff>9525</xdr:colOff>
      <xdr:row>63</xdr:row>
      <xdr:rowOff>9525</xdr:rowOff>
    </xdr:from>
    <xdr:ext cx="1905000" cy="1905000"/>
    <xdr:pic>
      <xdr:nvPicPr>
        <xdr:cNvPr id="61" name="First Page Clipping" descr="First Page Clipping">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58"/>
        <a:stretch>
          <a:fillRect/>
        </a:stretch>
      </xdr:blipFill>
      <xdr:spPr>
        <a:xfrm>
          <a:off x="0" y="0"/>
          <a:ext cx="0" cy="0"/>
        </a:xfrm>
        <a:prstGeom prst="rect">
          <a:avLst/>
        </a:prstGeom>
      </xdr:spPr>
    </xdr:pic>
    <xdr:clientData/>
  </xdr:oneCellAnchor>
  <xdr:oneCellAnchor>
    <xdr:from>
      <xdr:col>87</xdr:col>
      <xdr:colOff>9525</xdr:colOff>
      <xdr:row>64</xdr:row>
      <xdr:rowOff>9525</xdr:rowOff>
    </xdr:from>
    <xdr:ext cx="1905000" cy="1905000"/>
    <xdr:pic>
      <xdr:nvPicPr>
        <xdr:cNvPr id="62" name="First Page Clipping" descr="First Page Clipping">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59"/>
        <a:stretch>
          <a:fillRect/>
        </a:stretch>
      </xdr:blipFill>
      <xdr:spPr>
        <a:xfrm>
          <a:off x="0" y="0"/>
          <a:ext cx="0" cy="0"/>
        </a:xfrm>
        <a:prstGeom prst="rect">
          <a:avLst/>
        </a:prstGeom>
      </xdr:spPr>
    </xdr:pic>
    <xdr:clientData/>
  </xdr:oneCellAnchor>
  <xdr:oneCellAnchor>
    <xdr:from>
      <xdr:col>87</xdr:col>
      <xdr:colOff>9525</xdr:colOff>
      <xdr:row>65</xdr:row>
      <xdr:rowOff>9525</xdr:rowOff>
    </xdr:from>
    <xdr:ext cx="1905000" cy="1905000"/>
    <xdr:pic>
      <xdr:nvPicPr>
        <xdr:cNvPr id="63" name="First Page Clipping" descr="First Page Clipping">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60"/>
        <a:stretch>
          <a:fillRect/>
        </a:stretch>
      </xdr:blipFill>
      <xdr:spPr>
        <a:xfrm>
          <a:off x="0" y="0"/>
          <a:ext cx="0" cy="0"/>
        </a:xfrm>
        <a:prstGeom prst="rect">
          <a:avLst/>
        </a:prstGeom>
      </xdr:spPr>
    </xdr:pic>
    <xdr:clientData/>
  </xdr:oneCellAnchor>
  <xdr:oneCellAnchor>
    <xdr:from>
      <xdr:col>87</xdr:col>
      <xdr:colOff>9525</xdr:colOff>
      <xdr:row>66</xdr:row>
      <xdr:rowOff>9525</xdr:rowOff>
    </xdr:from>
    <xdr:ext cx="1905000" cy="1905000"/>
    <xdr:pic>
      <xdr:nvPicPr>
        <xdr:cNvPr id="64" name="First Page Clipping" descr="First Page Clipping">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61"/>
        <a:stretch>
          <a:fillRect/>
        </a:stretch>
      </xdr:blipFill>
      <xdr:spPr>
        <a:xfrm>
          <a:off x="0" y="0"/>
          <a:ext cx="0" cy="0"/>
        </a:xfrm>
        <a:prstGeom prst="rect">
          <a:avLst/>
        </a:prstGeom>
      </xdr:spPr>
    </xdr:pic>
    <xdr:clientData/>
  </xdr:oneCellAnchor>
  <xdr:oneCellAnchor>
    <xdr:from>
      <xdr:col>87</xdr:col>
      <xdr:colOff>9525</xdr:colOff>
      <xdr:row>67</xdr:row>
      <xdr:rowOff>9525</xdr:rowOff>
    </xdr:from>
    <xdr:ext cx="1905000" cy="1905000"/>
    <xdr:pic>
      <xdr:nvPicPr>
        <xdr:cNvPr id="65" name="First Page Clipping" descr="First Page Clipping">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62"/>
        <a:stretch>
          <a:fillRect/>
        </a:stretch>
      </xdr:blipFill>
      <xdr:spPr>
        <a:xfrm>
          <a:off x="0" y="0"/>
          <a:ext cx="0" cy="0"/>
        </a:xfrm>
        <a:prstGeom prst="rect">
          <a:avLst/>
        </a:prstGeom>
      </xdr:spPr>
    </xdr:pic>
    <xdr:clientData/>
  </xdr:oneCellAnchor>
  <xdr:oneCellAnchor>
    <xdr:from>
      <xdr:col>87</xdr:col>
      <xdr:colOff>9525</xdr:colOff>
      <xdr:row>68</xdr:row>
      <xdr:rowOff>9525</xdr:rowOff>
    </xdr:from>
    <xdr:ext cx="1905000" cy="1905000"/>
    <xdr:pic>
      <xdr:nvPicPr>
        <xdr:cNvPr id="66" name="First Page Clipping" descr="First Page Clipping">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63"/>
        <a:stretch>
          <a:fillRect/>
        </a:stretch>
      </xdr:blipFill>
      <xdr:spPr>
        <a:xfrm>
          <a:off x="0" y="0"/>
          <a:ext cx="0" cy="0"/>
        </a:xfrm>
        <a:prstGeom prst="rect">
          <a:avLst/>
        </a:prstGeom>
      </xdr:spPr>
    </xdr:pic>
    <xdr:clientData/>
  </xdr:oneCellAnchor>
  <xdr:oneCellAnchor>
    <xdr:from>
      <xdr:col>87</xdr:col>
      <xdr:colOff>9525</xdr:colOff>
      <xdr:row>69</xdr:row>
      <xdr:rowOff>9525</xdr:rowOff>
    </xdr:from>
    <xdr:ext cx="1905000" cy="1905000"/>
    <xdr:pic>
      <xdr:nvPicPr>
        <xdr:cNvPr id="67" name="First Page Clipping" descr="First Page Clipping">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64"/>
        <a:stretch>
          <a:fillRect/>
        </a:stretch>
      </xdr:blipFill>
      <xdr:spPr>
        <a:xfrm>
          <a:off x="0" y="0"/>
          <a:ext cx="0" cy="0"/>
        </a:xfrm>
        <a:prstGeom prst="rect">
          <a:avLst/>
        </a:prstGeom>
      </xdr:spPr>
    </xdr:pic>
    <xdr:clientData/>
  </xdr:oneCellAnchor>
  <xdr:oneCellAnchor>
    <xdr:from>
      <xdr:col>87</xdr:col>
      <xdr:colOff>9525</xdr:colOff>
      <xdr:row>70</xdr:row>
      <xdr:rowOff>9525</xdr:rowOff>
    </xdr:from>
    <xdr:ext cx="1905000" cy="1905000"/>
    <xdr:pic>
      <xdr:nvPicPr>
        <xdr:cNvPr id="68" name="First Page Clipping" descr="First Page Clipping">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65"/>
        <a:stretch>
          <a:fillRect/>
        </a:stretch>
      </xdr:blipFill>
      <xdr:spPr>
        <a:xfrm>
          <a:off x="0" y="0"/>
          <a:ext cx="0" cy="0"/>
        </a:xfrm>
        <a:prstGeom prst="rect">
          <a:avLst/>
        </a:prstGeom>
      </xdr:spPr>
    </xdr:pic>
    <xdr:clientData/>
  </xdr:oneCellAnchor>
  <xdr:oneCellAnchor>
    <xdr:from>
      <xdr:col>87</xdr:col>
      <xdr:colOff>9525</xdr:colOff>
      <xdr:row>71</xdr:row>
      <xdr:rowOff>9525</xdr:rowOff>
    </xdr:from>
    <xdr:ext cx="1905000" cy="1905000"/>
    <xdr:pic>
      <xdr:nvPicPr>
        <xdr:cNvPr id="69" name="First Page Clipping" descr="First Page Clipping">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66"/>
        <a:stretch>
          <a:fillRect/>
        </a:stretch>
      </xdr:blipFill>
      <xdr:spPr>
        <a:xfrm>
          <a:off x="0" y="0"/>
          <a:ext cx="0" cy="0"/>
        </a:xfrm>
        <a:prstGeom prst="rect">
          <a:avLst/>
        </a:prstGeom>
      </xdr:spPr>
    </xdr:pic>
    <xdr:clientData/>
  </xdr:oneCellAnchor>
  <xdr:oneCellAnchor>
    <xdr:from>
      <xdr:col>87</xdr:col>
      <xdr:colOff>9525</xdr:colOff>
      <xdr:row>72</xdr:row>
      <xdr:rowOff>9525</xdr:rowOff>
    </xdr:from>
    <xdr:ext cx="1905000" cy="1905000"/>
    <xdr:pic>
      <xdr:nvPicPr>
        <xdr:cNvPr id="70" name="First Page Clipping" descr="First Page Clipping">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67"/>
        <a:stretch>
          <a:fillRect/>
        </a:stretch>
      </xdr:blipFill>
      <xdr:spPr>
        <a:xfrm>
          <a:off x="0" y="0"/>
          <a:ext cx="0" cy="0"/>
        </a:xfrm>
        <a:prstGeom prst="rect">
          <a:avLst/>
        </a:prstGeom>
      </xdr:spPr>
    </xdr:pic>
    <xdr:clientData/>
  </xdr:oneCellAnchor>
  <xdr:oneCellAnchor>
    <xdr:from>
      <xdr:col>87</xdr:col>
      <xdr:colOff>9525</xdr:colOff>
      <xdr:row>73</xdr:row>
      <xdr:rowOff>9525</xdr:rowOff>
    </xdr:from>
    <xdr:ext cx="1905000" cy="1905000"/>
    <xdr:pic>
      <xdr:nvPicPr>
        <xdr:cNvPr id="71" name="First Page Clipping" descr="First Page Clipping">
          <a:extLst>
            <a:ext uri="{FF2B5EF4-FFF2-40B4-BE49-F238E27FC236}">
              <a16:creationId xmlns:a16="http://schemas.microsoft.com/office/drawing/2014/main" id="{00000000-0008-0000-0000-000047000000}"/>
            </a:ext>
          </a:extLst>
        </xdr:cNvPr>
        <xdr:cNvPicPr>
          <a:picLocks noChangeAspect="1"/>
        </xdr:cNvPicPr>
      </xdr:nvPicPr>
      <xdr:blipFill>
        <a:blip xmlns:r="http://schemas.openxmlformats.org/officeDocument/2006/relationships" r:embed="rId68"/>
        <a:stretch>
          <a:fillRect/>
        </a:stretch>
      </xdr:blipFill>
      <xdr:spPr>
        <a:xfrm>
          <a:off x="0" y="0"/>
          <a:ext cx="0" cy="0"/>
        </a:xfrm>
        <a:prstGeom prst="rect">
          <a:avLst/>
        </a:prstGeom>
      </xdr:spPr>
    </xdr:pic>
    <xdr:clientData/>
  </xdr:oneCellAnchor>
  <xdr:oneCellAnchor>
    <xdr:from>
      <xdr:col>87</xdr:col>
      <xdr:colOff>9525</xdr:colOff>
      <xdr:row>74</xdr:row>
      <xdr:rowOff>9525</xdr:rowOff>
    </xdr:from>
    <xdr:ext cx="1905000" cy="1905000"/>
    <xdr:pic>
      <xdr:nvPicPr>
        <xdr:cNvPr id="72" name="First Page Clipping" descr="First Page Clipping">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69"/>
        <a:stretch>
          <a:fillRect/>
        </a:stretch>
      </xdr:blipFill>
      <xdr:spPr>
        <a:xfrm>
          <a:off x="0" y="0"/>
          <a:ext cx="0" cy="0"/>
        </a:xfrm>
        <a:prstGeom prst="rect">
          <a:avLst/>
        </a:prstGeom>
      </xdr:spPr>
    </xdr:pic>
    <xdr:clientData/>
  </xdr:oneCellAnchor>
  <xdr:oneCellAnchor>
    <xdr:from>
      <xdr:col>87</xdr:col>
      <xdr:colOff>9525</xdr:colOff>
      <xdr:row>75</xdr:row>
      <xdr:rowOff>9525</xdr:rowOff>
    </xdr:from>
    <xdr:ext cx="1905000" cy="1905000"/>
    <xdr:pic>
      <xdr:nvPicPr>
        <xdr:cNvPr id="73" name="First Page Clipping" descr="First Page Clipping">
          <a:extLst>
            <a:ext uri="{FF2B5EF4-FFF2-40B4-BE49-F238E27FC236}">
              <a16:creationId xmlns:a16="http://schemas.microsoft.com/office/drawing/2014/main" id="{00000000-0008-0000-0000-000049000000}"/>
            </a:ext>
          </a:extLst>
        </xdr:cNvPr>
        <xdr:cNvPicPr>
          <a:picLocks noChangeAspect="1"/>
        </xdr:cNvPicPr>
      </xdr:nvPicPr>
      <xdr:blipFill>
        <a:blip xmlns:r="http://schemas.openxmlformats.org/officeDocument/2006/relationships" r:embed="rId70"/>
        <a:stretch>
          <a:fillRect/>
        </a:stretch>
      </xdr:blipFill>
      <xdr:spPr>
        <a:xfrm>
          <a:off x="0" y="0"/>
          <a:ext cx="0" cy="0"/>
        </a:xfrm>
        <a:prstGeom prst="rect">
          <a:avLst/>
        </a:prstGeom>
      </xdr:spPr>
    </xdr:pic>
    <xdr:clientData/>
  </xdr:oneCellAnchor>
  <xdr:oneCellAnchor>
    <xdr:from>
      <xdr:col>87</xdr:col>
      <xdr:colOff>9525</xdr:colOff>
      <xdr:row>76</xdr:row>
      <xdr:rowOff>9525</xdr:rowOff>
    </xdr:from>
    <xdr:ext cx="1905000" cy="1905000"/>
    <xdr:pic>
      <xdr:nvPicPr>
        <xdr:cNvPr id="74" name="First Page Clipping" descr="First Page Clipping">
          <a:extLst>
            <a:ext uri="{FF2B5EF4-FFF2-40B4-BE49-F238E27FC236}">
              <a16:creationId xmlns:a16="http://schemas.microsoft.com/office/drawing/2014/main" id="{00000000-0008-0000-0000-00004A000000}"/>
            </a:ext>
          </a:extLst>
        </xdr:cNvPr>
        <xdr:cNvPicPr>
          <a:picLocks noChangeAspect="1"/>
        </xdr:cNvPicPr>
      </xdr:nvPicPr>
      <xdr:blipFill>
        <a:blip xmlns:r="http://schemas.openxmlformats.org/officeDocument/2006/relationships" r:embed="rId71"/>
        <a:stretch>
          <a:fillRect/>
        </a:stretch>
      </xdr:blipFill>
      <xdr:spPr>
        <a:xfrm>
          <a:off x="0" y="0"/>
          <a:ext cx="0" cy="0"/>
        </a:xfrm>
        <a:prstGeom prst="rect">
          <a:avLst/>
        </a:prstGeom>
      </xdr:spPr>
    </xdr:pic>
    <xdr:clientData/>
  </xdr:oneCellAnchor>
  <xdr:oneCellAnchor>
    <xdr:from>
      <xdr:col>87</xdr:col>
      <xdr:colOff>9525</xdr:colOff>
      <xdr:row>77</xdr:row>
      <xdr:rowOff>9525</xdr:rowOff>
    </xdr:from>
    <xdr:ext cx="1905000" cy="1905000"/>
    <xdr:pic>
      <xdr:nvPicPr>
        <xdr:cNvPr id="75" name="First Page Clipping" descr="First Page Clipping">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72"/>
        <a:stretch>
          <a:fillRect/>
        </a:stretch>
      </xdr:blipFill>
      <xdr:spPr>
        <a:xfrm>
          <a:off x="0" y="0"/>
          <a:ext cx="0" cy="0"/>
        </a:xfrm>
        <a:prstGeom prst="rect">
          <a:avLst/>
        </a:prstGeom>
      </xdr:spPr>
    </xdr:pic>
    <xdr:clientData/>
  </xdr:oneCellAnchor>
  <xdr:oneCellAnchor>
    <xdr:from>
      <xdr:col>87</xdr:col>
      <xdr:colOff>9525</xdr:colOff>
      <xdr:row>78</xdr:row>
      <xdr:rowOff>9525</xdr:rowOff>
    </xdr:from>
    <xdr:ext cx="1905000" cy="1905000"/>
    <xdr:pic>
      <xdr:nvPicPr>
        <xdr:cNvPr id="76" name="First Page Clipping" descr="First Page Clipping">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73"/>
        <a:stretch>
          <a:fillRect/>
        </a:stretch>
      </xdr:blipFill>
      <xdr:spPr>
        <a:xfrm>
          <a:off x="0" y="0"/>
          <a:ext cx="0" cy="0"/>
        </a:xfrm>
        <a:prstGeom prst="rect">
          <a:avLst/>
        </a:prstGeom>
      </xdr:spPr>
    </xdr:pic>
    <xdr:clientData/>
  </xdr:oneCellAnchor>
  <xdr:oneCellAnchor>
    <xdr:from>
      <xdr:col>87</xdr:col>
      <xdr:colOff>9525</xdr:colOff>
      <xdr:row>79</xdr:row>
      <xdr:rowOff>9525</xdr:rowOff>
    </xdr:from>
    <xdr:ext cx="1905000" cy="1905000"/>
    <xdr:pic>
      <xdr:nvPicPr>
        <xdr:cNvPr id="77" name="First Page Clipping" descr="First Page Clipping">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74"/>
        <a:stretch>
          <a:fillRect/>
        </a:stretch>
      </xdr:blipFill>
      <xdr:spPr>
        <a:xfrm>
          <a:off x="0" y="0"/>
          <a:ext cx="0" cy="0"/>
        </a:xfrm>
        <a:prstGeom prst="rect">
          <a:avLst/>
        </a:prstGeom>
      </xdr:spPr>
    </xdr:pic>
    <xdr:clientData/>
  </xdr:oneCellAnchor>
  <xdr:oneCellAnchor>
    <xdr:from>
      <xdr:col>87</xdr:col>
      <xdr:colOff>9525</xdr:colOff>
      <xdr:row>80</xdr:row>
      <xdr:rowOff>9525</xdr:rowOff>
    </xdr:from>
    <xdr:ext cx="1905000" cy="1905000"/>
    <xdr:pic>
      <xdr:nvPicPr>
        <xdr:cNvPr id="78" name="First Page Clipping" descr="First Page Clipping">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75"/>
        <a:stretch>
          <a:fillRect/>
        </a:stretch>
      </xdr:blipFill>
      <xdr:spPr>
        <a:xfrm>
          <a:off x="0" y="0"/>
          <a:ext cx="0" cy="0"/>
        </a:xfrm>
        <a:prstGeom prst="rect">
          <a:avLst/>
        </a:prstGeom>
      </xdr:spPr>
    </xdr:pic>
    <xdr:clientData/>
  </xdr:oneCellAnchor>
  <xdr:oneCellAnchor>
    <xdr:from>
      <xdr:col>87</xdr:col>
      <xdr:colOff>9525</xdr:colOff>
      <xdr:row>81</xdr:row>
      <xdr:rowOff>9525</xdr:rowOff>
    </xdr:from>
    <xdr:ext cx="1905000" cy="1905000"/>
    <xdr:pic>
      <xdr:nvPicPr>
        <xdr:cNvPr id="79" name="First Page Clipping" descr="First Page Clipping">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76"/>
        <a:stretch>
          <a:fillRect/>
        </a:stretch>
      </xdr:blipFill>
      <xdr:spPr>
        <a:xfrm>
          <a:off x="0" y="0"/>
          <a:ext cx="0" cy="0"/>
        </a:xfrm>
        <a:prstGeom prst="rect">
          <a:avLst/>
        </a:prstGeom>
      </xdr:spPr>
    </xdr:pic>
    <xdr:clientData/>
  </xdr:oneCellAnchor>
  <xdr:oneCellAnchor>
    <xdr:from>
      <xdr:col>87</xdr:col>
      <xdr:colOff>9525</xdr:colOff>
      <xdr:row>82</xdr:row>
      <xdr:rowOff>9525</xdr:rowOff>
    </xdr:from>
    <xdr:ext cx="1905000" cy="1905000"/>
    <xdr:pic>
      <xdr:nvPicPr>
        <xdr:cNvPr id="80" name="First Page Clipping" descr="First Page Clipping">
          <a:extLst>
            <a:ext uri="{FF2B5EF4-FFF2-40B4-BE49-F238E27FC236}">
              <a16:creationId xmlns:a16="http://schemas.microsoft.com/office/drawing/2014/main" id="{00000000-0008-0000-0000-000050000000}"/>
            </a:ext>
          </a:extLst>
        </xdr:cNvPr>
        <xdr:cNvPicPr>
          <a:picLocks noChangeAspect="1"/>
        </xdr:cNvPicPr>
      </xdr:nvPicPr>
      <xdr:blipFill>
        <a:blip xmlns:r="http://schemas.openxmlformats.org/officeDocument/2006/relationships" r:embed="rId77"/>
        <a:stretch>
          <a:fillRect/>
        </a:stretch>
      </xdr:blipFill>
      <xdr:spPr>
        <a:xfrm>
          <a:off x="0" y="0"/>
          <a:ext cx="0" cy="0"/>
        </a:xfrm>
        <a:prstGeom prst="rect">
          <a:avLst/>
        </a:prstGeom>
      </xdr:spPr>
    </xdr:pic>
    <xdr:clientData/>
  </xdr:oneCellAnchor>
  <xdr:oneCellAnchor>
    <xdr:from>
      <xdr:col>87</xdr:col>
      <xdr:colOff>9525</xdr:colOff>
      <xdr:row>83</xdr:row>
      <xdr:rowOff>9525</xdr:rowOff>
    </xdr:from>
    <xdr:ext cx="1905000" cy="1905000"/>
    <xdr:pic>
      <xdr:nvPicPr>
        <xdr:cNvPr id="81" name="First Page Clipping" descr="First Page Clipping">
          <a:extLst>
            <a:ext uri="{FF2B5EF4-FFF2-40B4-BE49-F238E27FC236}">
              <a16:creationId xmlns:a16="http://schemas.microsoft.com/office/drawing/2014/main" id="{00000000-0008-0000-0000-000051000000}"/>
            </a:ext>
          </a:extLst>
        </xdr:cNvPr>
        <xdr:cNvPicPr>
          <a:picLocks noChangeAspect="1"/>
        </xdr:cNvPicPr>
      </xdr:nvPicPr>
      <xdr:blipFill>
        <a:blip xmlns:r="http://schemas.openxmlformats.org/officeDocument/2006/relationships" r:embed="rId78"/>
        <a:stretch>
          <a:fillRect/>
        </a:stretch>
      </xdr:blipFill>
      <xdr:spPr>
        <a:xfrm>
          <a:off x="0" y="0"/>
          <a:ext cx="0" cy="0"/>
        </a:xfrm>
        <a:prstGeom prst="rect">
          <a:avLst/>
        </a:prstGeom>
      </xdr:spPr>
    </xdr:pic>
    <xdr:clientData/>
  </xdr:oneCellAnchor>
  <xdr:oneCellAnchor>
    <xdr:from>
      <xdr:col>87</xdr:col>
      <xdr:colOff>9525</xdr:colOff>
      <xdr:row>84</xdr:row>
      <xdr:rowOff>9525</xdr:rowOff>
    </xdr:from>
    <xdr:ext cx="1905000" cy="1905000"/>
    <xdr:pic>
      <xdr:nvPicPr>
        <xdr:cNvPr id="82" name="First Page Clipping" descr="First Page Clipping">
          <a:extLst>
            <a:ext uri="{FF2B5EF4-FFF2-40B4-BE49-F238E27FC236}">
              <a16:creationId xmlns:a16="http://schemas.microsoft.com/office/drawing/2014/main" id="{00000000-0008-0000-0000-000052000000}"/>
            </a:ext>
          </a:extLst>
        </xdr:cNvPr>
        <xdr:cNvPicPr>
          <a:picLocks noChangeAspect="1"/>
        </xdr:cNvPicPr>
      </xdr:nvPicPr>
      <xdr:blipFill>
        <a:blip xmlns:r="http://schemas.openxmlformats.org/officeDocument/2006/relationships" r:embed="rId79"/>
        <a:stretch>
          <a:fillRect/>
        </a:stretch>
      </xdr:blipFill>
      <xdr:spPr>
        <a:xfrm>
          <a:off x="0" y="0"/>
          <a:ext cx="0" cy="0"/>
        </a:xfrm>
        <a:prstGeom prst="rect">
          <a:avLst/>
        </a:prstGeom>
      </xdr:spPr>
    </xdr:pic>
    <xdr:clientData/>
  </xdr:oneCellAnchor>
  <xdr:oneCellAnchor>
    <xdr:from>
      <xdr:col>87</xdr:col>
      <xdr:colOff>9525</xdr:colOff>
      <xdr:row>85</xdr:row>
      <xdr:rowOff>9525</xdr:rowOff>
    </xdr:from>
    <xdr:ext cx="1905000" cy="1905000"/>
    <xdr:pic>
      <xdr:nvPicPr>
        <xdr:cNvPr id="83" name="First Page Clipping" descr="First Page Clipping">
          <a:extLst>
            <a:ext uri="{FF2B5EF4-FFF2-40B4-BE49-F238E27FC236}">
              <a16:creationId xmlns:a16="http://schemas.microsoft.com/office/drawing/2014/main" id="{00000000-0008-0000-0000-000053000000}"/>
            </a:ext>
          </a:extLst>
        </xdr:cNvPr>
        <xdr:cNvPicPr>
          <a:picLocks noChangeAspect="1"/>
        </xdr:cNvPicPr>
      </xdr:nvPicPr>
      <xdr:blipFill>
        <a:blip xmlns:r="http://schemas.openxmlformats.org/officeDocument/2006/relationships" r:embed="rId80"/>
        <a:stretch>
          <a:fillRect/>
        </a:stretch>
      </xdr:blipFill>
      <xdr:spPr>
        <a:xfrm>
          <a:off x="0" y="0"/>
          <a:ext cx="0" cy="0"/>
        </a:xfrm>
        <a:prstGeom prst="rect">
          <a:avLst/>
        </a:prstGeom>
      </xdr:spPr>
    </xdr:pic>
    <xdr:clientData/>
  </xdr:oneCellAnchor>
  <xdr:oneCellAnchor>
    <xdr:from>
      <xdr:col>87</xdr:col>
      <xdr:colOff>9525</xdr:colOff>
      <xdr:row>86</xdr:row>
      <xdr:rowOff>9525</xdr:rowOff>
    </xdr:from>
    <xdr:ext cx="1905000" cy="1905000"/>
    <xdr:pic>
      <xdr:nvPicPr>
        <xdr:cNvPr id="84" name="First Page Clipping" descr="First Page Clipping">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81"/>
        <a:stretch>
          <a:fillRect/>
        </a:stretch>
      </xdr:blipFill>
      <xdr:spPr>
        <a:xfrm>
          <a:off x="0" y="0"/>
          <a:ext cx="0" cy="0"/>
        </a:xfrm>
        <a:prstGeom prst="rect">
          <a:avLst/>
        </a:prstGeom>
      </xdr:spPr>
    </xdr:pic>
    <xdr:clientData/>
  </xdr:oneCellAnchor>
  <xdr:oneCellAnchor>
    <xdr:from>
      <xdr:col>87</xdr:col>
      <xdr:colOff>9525</xdr:colOff>
      <xdr:row>87</xdr:row>
      <xdr:rowOff>9525</xdr:rowOff>
    </xdr:from>
    <xdr:ext cx="1905000" cy="1905000"/>
    <xdr:pic>
      <xdr:nvPicPr>
        <xdr:cNvPr id="85" name="First Page Clipping" descr="First Page Clipping">
          <a:extLst>
            <a:ext uri="{FF2B5EF4-FFF2-40B4-BE49-F238E27FC236}">
              <a16:creationId xmlns:a16="http://schemas.microsoft.com/office/drawing/2014/main" id="{00000000-0008-0000-0000-000055000000}"/>
            </a:ext>
          </a:extLst>
        </xdr:cNvPr>
        <xdr:cNvPicPr>
          <a:picLocks noChangeAspect="1"/>
        </xdr:cNvPicPr>
      </xdr:nvPicPr>
      <xdr:blipFill>
        <a:blip xmlns:r="http://schemas.openxmlformats.org/officeDocument/2006/relationships" r:embed="rId82"/>
        <a:stretch>
          <a:fillRect/>
        </a:stretch>
      </xdr:blipFill>
      <xdr:spPr>
        <a:xfrm>
          <a:off x="0" y="0"/>
          <a:ext cx="0" cy="0"/>
        </a:xfrm>
        <a:prstGeom prst="rect">
          <a:avLst/>
        </a:prstGeom>
      </xdr:spPr>
    </xdr:pic>
    <xdr:clientData/>
  </xdr:oneCellAnchor>
  <xdr:oneCellAnchor>
    <xdr:from>
      <xdr:col>87</xdr:col>
      <xdr:colOff>9525</xdr:colOff>
      <xdr:row>88</xdr:row>
      <xdr:rowOff>9525</xdr:rowOff>
    </xdr:from>
    <xdr:ext cx="1905000" cy="1905000"/>
    <xdr:pic>
      <xdr:nvPicPr>
        <xdr:cNvPr id="86" name="First Page Clipping" descr="First Page Clipping">
          <a:extLst>
            <a:ext uri="{FF2B5EF4-FFF2-40B4-BE49-F238E27FC236}">
              <a16:creationId xmlns:a16="http://schemas.microsoft.com/office/drawing/2014/main" id="{00000000-0008-0000-0000-000056000000}"/>
            </a:ext>
          </a:extLst>
        </xdr:cNvPr>
        <xdr:cNvPicPr>
          <a:picLocks noChangeAspect="1"/>
        </xdr:cNvPicPr>
      </xdr:nvPicPr>
      <xdr:blipFill>
        <a:blip xmlns:r="http://schemas.openxmlformats.org/officeDocument/2006/relationships" r:embed="rId83"/>
        <a:stretch>
          <a:fillRect/>
        </a:stretch>
      </xdr:blipFill>
      <xdr:spPr>
        <a:xfrm>
          <a:off x="0" y="0"/>
          <a:ext cx="0" cy="0"/>
        </a:xfrm>
        <a:prstGeom prst="rect">
          <a:avLst/>
        </a:prstGeom>
      </xdr:spPr>
    </xdr:pic>
    <xdr:clientData/>
  </xdr:oneCellAnchor>
  <xdr:oneCellAnchor>
    <xdr:from>
      <xdr:col>87</xdr:col>
      <xdr:colOff>9525</xdr:colOff>
      <xdr:row>89</xdr:row>
      <xdr:rowOff>9525</xdr:rowOff>
    </xdr:from>
    <xdr:ext cx="1905000" cy="1905000"/>
    <xdr:pic>
      <xdr:nvPicPr>
        <xdr:cNvPr id="87" name="First Page Clipping" descr="First Page Clipping">
          <a:extLst>
            <a:ext uri="{FF2B5EF4-FFF2-40B4-BE49-F238E27FC236}">
              <a16:creationId xmlns:a16="http://schemas.microsoft.com/office/drawing/2014/main" id="{00000000-0008-0000-0000-000057000000}"/>
            </a:ext>
          </a:extLst>
        </xdr:cNvPr>
        <xdr:cNvPicPr>
          <a:picLocks noChangeAspect="1"/>
        </xdr:cNvPicPr>
      </xdr:nvPicPr>
      <xdr:blipFill>
        <a:blip xmlns:r="http://schemas.openxmlformats.org/officeDocument/2006/relationships" r:embed="rId84"/>
        <a:stretch>
          <a:fillRect/>
        </a:stretch>
      </xdr:blipFill>
      <xdr:spPr>
        <a:xfrm>
          <a:off x="0" y="0"/>
          <a:ext cx="0" cy="0"/>
        </a:xfrm>
        <a:prstGeom prst="rect">
          <a:avLst/>
        </a:prstGeom>
      </xdr:spPr>
    </xdr:pic>
    <xdr:clientData/>
  </xdr:oneCellAnchor>
  <xdr:oneCellAnchor>
    <xdr:from>
      <xdr:col>87</xdr:col>
      <xdr:colOff>9525</xdr:colOff>
      <xdr:row>90</xdr:row>
      <xdr:rowOff>9525</xdr:rowOff>
    </xdr:from>
    <xdr:ext cx="1905000" cy="1905000"/>
    <xdr:pic>
      <xdr:nvPicPr>
        <xdr:cNvPr id="88" name="First Page Clipping" descr="First Page Clipping">
          <a:extLst>
            <a:ext uri="{FF2B5EF4-FFF2-40B4-BE49-F238E27FC236}">
              <a16:creationId xmlns:a16="http://schemas.microsoft.com/office/drawing/2014/main" id="{00000000-0008-0000-0000-000058000000}"/>
            </a:ext>
          </a:extLst>
        </xdr:cNvPr>
        <xdr:cNvPicPr>
          <a:picLocks noChangeAspect="1"/>
        </xdr:cNvPicPr>
      </xdr:nvPicPr>
      <xdr:blipFill>
        <a:blip xmlns:r="http://schemas.openxmlformats.org/officeDocument/2006/relationships" r:embed="rId85"/>
        <a:stretch>
          <a:fillRect/>
        </a:stretch>
      </xdr:blipFill>
      <xdr:spPr>
        <a:xfrm>
          <a:off x="0" y="0"/>
          <a:ext cx="0" cy="0"/>
        </a:xfrm>
        <a:prstGeom prst="rect">
          <a:avLst/>
        </a:prstGeom>
      </xdr:spPr>
    </xdr:pic>
    <xdr:clientData/>
  </xdr:oneCellAnchor>
  <xdr:oneCellAnchor>
    <xdr:from>
      <xdr:col>87</xdr:col>
      <xdr:colOff>9525</xdr:colOff>
      <xdr:row>91</xdr:row>
      <xdr:rowOff>9525</xdr:rowOff>
    </xdr:from>
    <xdr:ext cx="1905000" cy="1905000"/>
    <xdr:pic>
      <xdr:nvPicPr>
        <xdr:cNvPr id="89" name="First Page Clipping" descr="First Page Clipping">
          <a:extLst>
            <a:ext uri="{FF2B5EF4-FFF2-40B4-BE49-F238E27FC236}">
              <a16:creationId xmlns:a16="http://schemas.microsoft.com/office/drawing/2014/main" id="{00000000-0008-0000-0000-000059000000}"/>
            </a:ext>
          </a:extLst>
        </xdr:cNvPr>
        <xdr:cNvPicPr>
          <a:picLocks noChangeAspect="1"/>
        </xdr:cNvPicPr>
      </xdr:nvPicPr>
      <xdr:blipFill>
        <a:blip xmlns:r="http://schemas.openxmlformats.org/officeDocument/2006/relationships" r:embed="rId86"/>
        <a:stretch>
          <a:fillRect/>
        </a:stretch>
      </xdr:blipFill>
      <xdr:spPr>
        <a:xfrm>
          <a:off x="0" y="0"/>
          <a:ext cx="0" cy="0"/>
        </a:xfrm>
        <a:prstGeom prst="rect">
          <a:avLst/>
        </a:prstGeom>
      </xdr:spPr>
    </xdr:pic>
    <xdr:clientData/>
  </xdr:oneCellAnchor>
  <xdr:oneCellAnchor>
    <xdr:from>
      <xdr:col>87</xdr:col>
      <xdr:colOff>9525</xdr:colOff>
      <xdr:row>92</xdr:row>
      <xdr:rowOff>9525</xdr:rowOff>
    </xdr:from>
    <xdr:ext cx="1905000" cy="1905000"/>
    <xdr:pic>
      <xdr:nvPicPr>
        <xdr:cNvPr id="90" name="First Page Clipping" descr="First Page Clipping">
          <a:extLst>
            <a:ext uri="{FF2B5EF4-FFF2-40B4-BE49-F238E27FC236}">
              <a16:creationId xmlns:a16="http://schemas.microsoft.com/office/drawing/2014/main" id="{00000000-0008-0000-0000-00005A000000}"/>
            </a:ext>
          </a:extLst>
        </xdr:cNvPr>
        <xdr:cNvPicPr>
          <a:picLocks noChangeAspect="1"/>
        </xdr:cNvPicPr>
      </xdr:nvPicPr>
      <xdr:blipFill>
        <a:blip xmlns:r="http://schemas.openxmlformats.org/officeDocument/2006/relationships" r:embed="rId87"/>
        <a:stretch>
          <a:fillRect/>
        </a:stretch>
      </xdr:blipFill>
      <xdr:spPr>
        <a:xfrm>
          <a:off x="0" y="0"/>
          <a:ext cx="0" cy="0"/>
        </a:xfrm>
        <a:prstGeom prst="rect">
          <a:avLst/>
        </a:prstGeom>
      </xdr:spPr>
    </xdr:pic>
    <xdr:clientData/>
  </xdr:oneCellAnchor>
  <xdr:oneCellAnchor>
    <xdr:from>
      <xdr:col>87</xdr:col>
      <xdr:colOff>9525</xdr:colOff>
      <xdr:row>93</xdr:row>
      <xdr:rowOff>9525</xdr:rowOff>
    </xdr:from>
    <xdr:ext cx="1905000" cy="1905000"/>
    <xdr:pic>
      <xdr:nvPicPr>
        <xdr:cNvPr id="91" name="First Page Clipping" descr="First Page Clipping">
          <a:extLst>
            <a:ext uri="{FF2B5EF4-FFF2-40B4-BE49-F238E27FC236}">
              <a16:creationId xmlns:a16="http://schemas.microsoft.com/office/drawing/2014/main" id="{00000000-0008-0000-0000-00005B000000}"/>
            </a:ext>
          </a:extLst>
        </xdr:cNvPr>
        <xdr:cNvPicPr>
          <a:picLocks noChangeAspect="1"/>
        </xdr:cNvPicPr>
      </xdr:nvPicPr>
      <xdr:blipFill>
        <a:blip xmlns:r="http://schemas.openxmlformats.org/officeDocument/2006/relationships" r:embed="rId88"/>
        <a:stretch>
          <a:fillRect/>
        </a:stretch>
      </xdr:blipFill>
      <xdr:spPr>
        <a:xfrm>
          <a:off x="0" y="0"/>
          <a:ext cx="0" cy="0"/>
        </a:xfrm>
        <a:prstGeom prst="rect">
          <a:avLst/>
        </a:prstGeom>
      </xdr:spPr>
    </xdr:pic>
    <xdr:clientData/>
  </xdr:oneCellAnchor>
  <xdr:oneCellAnchor>
    <xdr:from>
      <xdr:col>87</xdr:col>
      <xdr:colOff>9525</xdr:colOff>
      <xdr:row>94</xdr:row>
      <xdr:rowOff>9525</xdr:rowOff>
    </xdr:from>
    <xdr:ext cx="1905000" cy="1905000"/>
    <xdr:pic>
      <xdr:nvPicPr>
        <xdr:cNvPr id="92" name="First Page Clipping" descr="First Page Clipping">
          <a:extLst>
            <a:ext uri="{FF2B5EF4-FFF2-40B4-BE49-F238E27FC236}">
              <a16:creationId xmlns:a16="http://schemas.microsoft.com/office/drawing/2014/main" id="{00000000-0008-0000-0000-00005C000000}"/>
            </a:ext>
          </a:extLst>
        </xdr:cNvPr>
        <xdr:cNvPicPr>
          <a:picLocks noChangeAspect="1"/>
        </xdr:cNvPicPr>
      </xdr:nvPicPr>
      <xdr:blipFill>
        <a:blip xmlns:r="http://schemas.openxmlformats.org/officeDocument/2006/relationships" r:embed="rId89"/>
        <a:stretch>
          <a:fillRect/>
        </a:stretch>
      </xdr:blipFill>
      <xdr:spPr>
        <a:xfrm>
          <a:off x="0" y="0"/>
          <a:ext cx="0" cy="0"/>
        </a:xfrm>
        <a:prstGeom prst="rect">
          <a:avLst/>
        </a:prstGeom>
      </xdr:spPr>
    </xdr:pic>
    <xdr:clientData/>
  </xdr:oneCellAnchor>
  <xdr:oneCellAnchor>
    <xdr:from>
      <xdr:col>87</xdr:col>
      <xdr:colOff>9525</xdr:colOff>
      <xdr:row>95</xdr:row>
      <xdr:rowOff>9525</xdr:rowOff>
    </xdr:from>
    <xdr:ext cx="1905000" cy="1905000"/>
    <xdr:pic>
      <xdr:nvPicPr>
        <xdr:cNvPr id="93" name="First Page Clipping" descr="First Page Clipping">
          <a:extLst>
            <a:ext uri="{FF2B5EF4-FFF2-40B4-BE49-F238E27FC236}">
              <a16:creationId xmlns:a16="http://schemas.microsoft.com/office/drawing/2014/main" id="{00000000-0008-0000-0000-00005D000000}"/>
            </a:ext>
          </a:extLst>
        </xdr:cNvPr>
        <xdr:cNvPicPr>
          <a:picLocks noChangeAspect="1"/>
        </xdr:cNvPicPr>
      </xdr:nvPicPr>
      <xdr:blipFill>
        <a:blip xmlns:r="http://schemas.openxmlformats.org/officeDocument/2006/relationships" r:embed="rId90"/>
        <a:stretch>
          <a:fillRect/>
        </a:stretch>
      </xdr:blipFill>
      <xdr:spPr>
        <a:xfrm>
          <a:off x="0" y="0"/>
          <a:ext cx="0" cy="0"/>
        </a:xfrm>
        <a:prstGeom prst="rect">
          <a:avLst/>
        </a:prstGeom>
      </xdr:spPr>
    </xdr:pic>
    <xdr:clientData/>
  </xdr:oneCellAnchor>
  <xdr:oneCellAnchor>
    <xdr:from>
      <xdr:col>87</xdr:col>
      <xdr:colOff>9525</xdr:colOff>
      <xdr:row>96</xdr:row>
      <xdr:rowOff>9525</xdr:rowOff>
    </xdr:from>
    <xdr:ext cx="1905000" cy="1905000"/>
    <xdr:pic>
      <xdr:nvPicPr>
        <xdr:cNvPr id="94" name="First Page Clipping" descr="First Page Clipping">
          <a:extLst>
            <a:ext uri="{FF2B5EF4-FFF2-40B4-BE49-F238E27FC236}">
              <a16:creationId xmlns:a16="http://schemas.microsoft.com/office/drawing/2014/main" id="{00000000-0008-0000-0000-00005E000000}"/>
            </a:ext>
          </a:extLst>
        </xdr:cNvPr>
        <xdr:cNvPicPr>
          <a:picLocks noChangeAspect="1"/>
        </xdr:cNvPicPr>
      </xdr:nvPicPr>
      <xdr:blipFill>
        <a:blip xmlns:r="http://schemas.openxmlformats.org/officeDocument/2006/relationships" r:embed="rId91"/>
        <a:stretch>
          <a:fillRect/>
        </a:stretch>
      </xdr:blipFill>
      <xdr:spPr>
        <a:xfrm>
          <a:off x="0" y="0"/>
          <a:ext cx="0" cy="0"/>
        </a:xfrm>
        <a:prstGeom prst="rect">
          <a:avLst/>
        </a:prstGeom>
      </xdr:spPr>
    </xdr:pic>
    <xdr:clientData/>
  </xdr:oneCellAnchor>
  <xdr:oneCellAnchor>
    <xdr:from>
      <xdr:col>87</xdr:col>
      <xdr:colOff>9525</xdr:colOff>
      <xdr:row>97</xdr:row>
      <xdr:rowOff>9525</xdr:rowOff>
    </xdr:from>
    <xdr:ext cx="1905000" cy="1905000"/>
    <xdr:pic>
      <xdr:nvPicPr>
        <xdr:cNvPr id="95" name="First Page Clipping" descr="First Page Clipping">
          <a:extLst>
            <a:ext uri="{FF2B5EF4-FFF2-40B4-BE49-F238E27FC236}">
              <a16:creationId xmlns:a16="http://schemas.microsoft.com/office/drawing/2014/main" id="{00000000-0008-0000-0000-00005F000000}"/>
            </a:ext>
          </a:extLst>
        </xdr:cNvPr>
        <xdr:cNvPicPr>
          <a:picLocks noChangeAspect="1"/>
        </xdr:cNvPicPr>
      </xdr:nvPicPr>
      <xdr:blipFill>
        <a:blip xmlns:r="http://schemas.openxmlformats.org/officeDocument/2006/relationships" r:embed="rId92"/>
        <a:stretch>
          <a:fillRect/>
        </a:stretch>
      </xdr:blipFill>
      <xdr:spPr>
        <a:xfrm>
          <a:off x="0" y="0"/>
          <a:ext cx="0" cy="0"/>
        </a:xfrm>
        <a:prstGeom prst="rect">
          <a:avLst/>
        </a:prstGeom>
      </xdr:spPr>
    </xdr:pic>
    <xdr:clientData/>
  </xdr:oneCellAnchor>
  <xdr:oneCellAnchor>
    <xdr:from>
      <xdr:col>87</xdr:col>
      <xdr:colOff>9525</xdr:colOff>
      <xdr:row>98</xdr:row>
      <xdr:rowOff>9525</xdr:rowOff>
    </xdr:from>
    <xdr:ext cx="1905000" cy="1905000"/>
    <xdr:pic>
      <xdr:nvPicPr>
        <xdr:cNvPr id="96" name="First Page Clipping" descr="First Page Clipping">
          <a:extLst>
            <a:ext uri="{FF2B5EF4-FFF2-40B4-BE49-F238E27FC236}">
              <a16:creationId xmlns:a16="http://schemas.microsoft.com/office/drawing/2014/main" id="{00000000-0008-0000-0000-000060000000}"/>
            </a:ext>
          </a:extLst>
        </xdr:cNvPr>
        <xdr:cNvPicPr>
          <a:picLocks noChangeAspect="1"/>
        </xdr:cNvPicPr>
      </xdr:nvPicPr>
      <xdr:blipFill>
        <a:blip xmlns:r="http://schemas.openxmlformats.org/officeDocument/2006/relationships" r:embed="rId93"/>
        <a:stretch>
          <a:fillRect/>
        </a:stretch>
      </xdr:blipFill>
      <xdr:spPr>
        <a:xfrm>
          <a:off x="0" y="0"/>
          <a:ext cx="0" cy="0"/>
        </a:xfrm>
        <a:prstGeom prst="rect">
          <a:avLst/>
        </a:prstGeom>
      </xdr:spPr>
    </xdr:pic>
    <xdr:clientData/>
  </xdr:oneCellAnchor>
  <xdr:oneCellAnchor>
    <xdr:from>
      <xdr:col>87</xdr:col>
      <xdr:colOff>9525</xdr:colOff>
      <xdr:row>99</xdr:row>
      <xdr:rowOff>9525</xdr:rowOff>
    </xdr:from>
    <xdr:ext cx="1905000" cy="1905000"/>
    <xdr:pic>
      <xdr:nvPicPr>
        <xdr:cNvPr id="97" name="First Page Clipping" descr="First Page Clipping">
          <a:extLst>
            <a:ext uri="{FF2B5EF4-FFF2-40B4-BE49-F238E27FC236}">
              <a16:creationId xmlns:a16="http://schemas.microsoft.com/office/drawing/2014/main" id="{00000000-0008-0000-0000-000061000000}"/>
            </a:ext>
          </a:extLst>
        </xdr:cNvPr>
        <xdr:cNvPicPr>
          <a:picLocks noChangeAspect="1"/>
        </xdr:cNvPicPr>
      </xdr:nvPicPr>
      <xdr:blipFill>
        <a:blip xmlns:r="http://schemas.openxmlformats.org/officeDocument/2006/relationships" r:embed="rId94"/>
        <a:stretch>
          <a:fillRect/>
        </a:stretch>
      </xdr:blipFill>
      <xdr:spPr>
        <a:xfrm>
          <a:off x="0" y="0"/>
          <a:ext cx="0" cy="0"/>
        </a:xfrm>
        <a:prstGeom prst="rect">
          <a:avLst/>
        </a:prstGeom>
      </xdr:spPr>
    </xdr:pic>
    <xdr:clientData/>
  </xdr:oneCellAnchor>
  <xdr:oneCellAnchor>
    <xdr:from>
      <xdr:col>87</xdr:col>
      <xdr:colOff>9525</xdr:colOff>
      <xdr:row>100</xdr:row>
      <xdr:rowOff>9525</xdr:rowOff>
    </xdr:from>
    <xdr:ext cx="1905000" cy="1905000"/>
    <xdr:pic>
      <xdr:nvPicPr>
        <xdr:cNvPr id="98" name="First Page Clipping" descr="First Page Clipping">
          <a:extLst>
            <a:ext uri="{FF2B5EF4-FFF2-40B4-BE49-F238E27FC236}">
              <a16:creationId xmlns:a16="http://schemas.microsoft.com/office/drawing/2014/main" id="{00000000-0008-0000-0000-000062000000}"/>
            </a:ext>
          </a:extLst>
        </xdr:cNvPr>
        <xdr:cNvPicPr>
          <a:picLocks noChangeAspect="1"/>
        </xdr:cNvPicPr>
      </xdr:nvPicPr>
      <xdr:blipFill>
        <a:blip xmlns:r="http://schemas.openxmlformats.org/officeDocument/2006/relationships" r:embed="rId95"/>
        <a:stretch>
          <a:fillRect/>
        </a:stretch>
      </xdr:blipFill>
      <xdr:spPr>
        <a:xfrm>
          <a:off x="0" y="0"/>
          <a:ext cx="0" cy="0"/>
        </a:xfrm>
        <a:prstGeom prst="rect">
          <a:avLst/>
        </a:prstGeom>
      </xdr:spPr>
    </xdr:pic>
    <xdr:clientData/>
  </xdr:oneCellAnchor>
  <xdr:oneCellAnchor>
    <xdr:from>
      <xdr:col>87</xdr:col>
      <xdr:colOff>9525</xdr:colOff>
      <xdr:row>101</xdr:row>
      <xdr:rowOff>9525</xdr:rowOff>
    </xdr:from>
    <xdr:ext cx="1905000" cy="1905000"/>
    <xdr:pic>
      <xdr:nvPicPr>
        <xdr:cNvPr id="99" name="First Page Clipping" descr="First Page Clipping">
          <a:extLst>
            <a:ext uri="{FF2B5EF4-FFF2-40B4-BE49-F238E27FC236}">
              <a16:creationId xmlns:a16="http://schemas.microsoft.com/office/drawing/2014/main" id="{00000000-0008-0000-0000-000063000000}"/>
            </a:ext>
          </a:extLst>
        </xdr:cNvPr>
        <xdr:cNvPicPr>
          <a:picLocks noChangeAspect="1"/>
        </xdr:cNvPicPr>
      </xdr:nvPicPr>
      <xdr:blipFill>
        <a:blip xmlns:r="http://schemas.openxmlformats.org/officeDocument/2006/relationships" r:embed="rId96"/>
        <a:stretch>
          <a:fillRect/>
        </a:stretch>
      </xdr:blipFill>
      <xdr:spPr>
        <a:xfrm>
          <a:off x="0" y="0"/>
          <a:ext cx="0" cy="0"/>
        </a:xfrm>
        <a:prstGeom prst="rect">
          <a:avLst/>
        </a:prstGeom>
      </xdr:spPr>
    </xdr:pic>
    <xdr:clientData/>
  </xdr:oneCellAnchor>
  <xdr:oneCellAnchor>
    <xdr:from>
      <xdr:col>87</xdr:col>
      <xdr:colOff>9525</xdr:colOff>
      <xdr:row>104</xdr:row>
      <xdr:rowOff>9525</xdr:rowOff>
    </xdr:from>
    <xdr:ext cx="1905000" cy="1905000"/>
    <xdr:pic>
      <xdr:nvPicPr>
        <xdr:cNvPr id="100" name="First Page Clipping" descr="First Page Clipping">
          <a:extLst>
            <a:ext uri="{FF2B5EF4-FFF2-40B4-BE49-F238E27FC236}">
              <a16:creationId xmlns:a16="http://schemas.microsoft.com/office/drawing/2014/main" id="{00000000-0008-0000-0000-000064000000}"/>
            </a:ext>
          </a:extLst>
        </xdr:cNvPr>
        <xdr:cNvPicPr>
          <a:picLocks noChangeAspect="1"/>
        </xdr:cNvPicPr>
      </xdr:nvPicPr>
      <xdr:blipFill>
        <a:blip xmlns:r="http://schemas.openxmlformats.org/officeDocument/2006/relationships" r:embed="rId97"/>
        <a:stretch>
          <a:fillRect/>
        </a:stretch>
      </xdr:blipFill>
      <xdr:spPr>
        <a:xfrm>
          <a:off x="0" y="0"/>
          <a:ext cx="0" cy="0"/>
        </a:xfrm>
        <a:prstGeom prst="rect">
          <a:avLst/>
        </a:prstGeom>
      </xdr:spPr>
    </xdr:pic>
    <xdr:clientData/>
  </xdr:oneCellAnchor>
  <xdr:oneCellAnchor>
    <xdr:from>
      <xdr:col>87</xdr:col>
      <xdr:colOff>9525</xdr:colOff>
      <xdr:row>105</xdr:row>
      <xdr:rowOff>9525</xdr:rowOff>
    </xdr:from>
    <xdr:ext cx="1905000" cy="1905000"/>
    <xdr:pic>
      <xdr:nvPicPr>
        <xdr:cNvPr id="101" name="First Page Clipping" descr="First Page Clipping">
          <a:extLst>
            <a:ext uri="{FF2B5EF4-FFF2-40B4-BE49-F238E27FC236}">
              <a16:creationId xmlns:a16="http://schemas.microsoft.com/office/drawing/2014/main" id="{00000000-0008-0000-0000-000065000000}"/>
            </a:ext>
          </a:extLst>
        </xdr:cNvPr>
        <xdr:cNvPicPr>
          <a:picLocks noChangeAspect="1"/>
        </xdr:cNvPicPr>
      </xdr:nvPicPr>
      <xdr:blipFill>
        <a:blip xmlns:r="http://schemas.openxmlformats.org/officeDocument/2006/relationships" r:embed="rId98"/>
        <a:stretch>
          <a:fillRect/>
        </a:stretch>
      </xdr:blipFill>
      <xdr:spPr>
        <a:xfrm>
          <a:off x="0" y="0"/>
          <a:ext cx="0" cy="0"/>
        </a:xfrm>
        <a:prstGeom prst="rect">
          <a:avLst/>
        </a:prstGeom>
      </xdr:spPr>
    </xdr:pic>
    <xdr:clientData/>
  </xdr:oneCellAnchor>
  <xdr:oneCellAnchor>
    <xdr:from>
      <xdr:col>87</xdr:col>
      <xdr:colOff>9525</xdr:colOff>
      <xdr:row>106</xdr:row>
      <xdr:rowOff>9525</xdr:rowOff>
    </xdr:from>
    <xdr:ext cx="1905000" cy="1905000"/>
    <xdr:pic>
      <xdr:nvPicPr>
        <xdr:cNvPr id="102" name="First Page Clipping" descr="First Page Clipping">
          <a:extLst>
            <a:ext uri="{FF2B5EF4-FFF2-40B4-BE49-F238E27FC236}">
              <a16:creationId xmlns:a16="http://schemas.microsoft.com/office/drawing/2014/main" id="{00000000-0008-0000-0000-000066000000}"/>
            </a:ext>
          </a:extLst>
        </xdr:cNvPr>
        <xdr:cNvPicPr>
          <a:picLocks noChangeAspect="1"/>
        </xdr:cNvPicPr>
      </xdr:nvPicPr>
      <xdr:blipFill>
        <a:blip xmlns:r="http://schemas.openxmlformats.org/officeDocument/2006/relationships" r:embed="rId99"/>
        <a:stretch>
          <a:fillRect/>
        </a:stretch>
      </xdr:blipFill>
      <xdr:spPr>
        <a:xfrm>
          <a:off x="0" y="0"/>
          <a:ext cx="0" cy="0"/>
        </a:xfrm>
        <a:prstGeom prst="rect">
          <a:avLst/>
        </a:prstGeom>
      </xdr:spPr>
    </xdr:pic>
    <xdr:clientData/>
  </xdr:oneCellAnchor>
  <xdr:oneCellAnchor>
    <xdr:from>
      <xdr:col>87</xdr:col>
      <xdr:colOff>9525</xdr:colOff>
      <xdr:row>107</xdr:row>
      <xdr:rowOff>9525</xdr:rowOff>
    </xdr:from>
    <xdr:ext cx="1905000" cy="1905000"/>
    <xdr:pic>
      <xdr:nvPicPr>
        <xdr:cNvPr id="103" name="First Page Clipping" descr="First Page Clipping">
          <a:extLst>
            <a:ext uri="{FF2B5EF4-FFF2-40B4-BE49-F238E27FC236}">
              <a16:creationId xmlns:a16="http://schemas.microsoft.com/office/drawing/2014/main" id="{00000000-0008-0000-0000-000067000000}"/>
            </a:ext>
          </a:extLst>
        </xdr:cNvPr>
        <xdr:cNvPicPr>
          <a:picLocks noChangeAspect="1"/>
        </xdr:cNvPicPr>
      </xdr:nvPicPr>
      <xdr:blipFill>
        <a:blip xmlns:r="http://schemas.openxmlformats.org/officeDocument/2006/relationships" r:embed="rId100"/>
        <a:stretch>
          <a:fillRect/>
        </a:stretch>
      </xdr:blipFill>
      <xdr:spPr>
        <a:xfrm>
          <a:off x="0" y="0"/>
          <a:ext cx="0" cy="0"/>
        </a:xfrm>
        <a:prstGeom prst="rect">
          <a:avLst/>
        </a:prstGeom>
      </xdr:spPr>
    </xdr:pic>
    <xdr:clientData/>
  </xdr:oneCellAnchor>
  <xdr:oneCellAnchor>
    <xdr:from>
      <xdr:col>87</xdr:col>
      <xdr:colOff>9525</xdr:colOff>
      <xdr:row>108</xdr:row>
      <xdr:rowOff>9525</xdr:rowOff>
    </xdr:from>
    <xdr:ext cx="1905000" cy="1905000"/>
    <xdr:pic>
      <xdr:nvPicPr>
        <xdr:cNvPr id="104" name="First Page Clipping" descr="First Page Clipping">
          <a:extLst>
            <a:ext uri="{FF2B5EF4-FFF2-40B4-BE49-F238E27FC236}">
              <a16:creationId xmlns:a16="http://schemas.microsoft.com/office/drawing/2014/main" id="{00000000-0008-0000-0000-000068000000}"/>
            </a:ext>
          </a:extLst>
        </xdr:cNvPr>
        <xdr:cNvPicPr>
          <a:picLocks noChangeAspect="1"/>
        </xdr:cNvPicPr>
      </xdr:nvPicPr>
      <xdr:blipFill>
        <a:blip xmlns:r="http://schemas.openxmlformats.org/officeDocument/2006/relationships" r:embed="rId101"/>
        <a:stretch>
          <a:fillRect/>
        </a:stretch>
      </xdr:blipFill>
      <xdr:spPr>
        <a:xfrm>
          <a:off x="0" y="0"/>
          <a:ext cx="0" cy="0"/>
        </a:xfrm>
        <a:prstGeom prst="rect">
          <a:avLst/>
        </a:prstGeom>
      </xdr:spPr>
    </xdr:pic>
    <xdr:clientData/>
  </xdr:oneCellAnchor>
  <xdr:oneCellAnchor>
    <xdr:from>
      <xdr:col>87</xdr:col>
      <xdr:colOff>9525</xdr:colOff>
      <xdr:row>109</xdr:row>
      <xdr:rowOff>9525</xdr:rowOff>
    </xdr:from>
    <xdr:ext cx="1905000" cy="1905000"/>
    <xdr:pic>
      <xdr:nvPicPr>
        <xdr:cNvPr id="105" name="First Page Clipping" descr="First Page Clipping">
          <a:extLst>
            <a:ext uri="{FF2B5EF4-FFF2-40B4-BE49-F238E27FC236}">
              <a16:creationId xmlns:a16="http://schemas.microsoft.com/office/drawing/2014/main" id="{00000000-0008-0000-0000-000069000000}"/>
            </a:ext>
          </a:extLst>
        </xdr:cNvPr>
        <xdr:cNvPicPr>
          <a:picLocks noChangeAspect="1"/>
        </xdr:cNvPicPr>
      </xdr:nvPicPr>
      <xdr:blipFill>
        <a:blip xmlns:r="http://schemas.openxmlformats.org/officeDocument/2006/relationships" r:embed="rId102"/>
        <a:stretch>
          <a:fillRect/>
        </a:stretch>
      </xdr:blipFill>
      <xdr:spPr>
        <a:xfrm>
          <a:off x="0" y="0"/>
          <a:ext cx="0" cy="0"/>
        </a:xfrm>
        <a:prstGeom prst="rect">
          <a:avLst/>
        </a:prstGeom>
      </xdr:spPr>
    </xdr:pic>
    <xdr:clientData/>
  </xdr:oneCellAnchor>
  <xdr:oneCellAnchor>
    <xdr:from>
      <xdr:col>87</xdr:col>
      <xdr:colOff>9525</xdr:colOff>
      <xdr:row>110</xdr:row>
      <xdr:rowOff>9525</xdr:rowOff>
    </xdr:from>
    <xdr:ext cx="1905000" cy="1905000"/>
    <xdr:pic>
      <xdr:nvPicPr>
        <xdr:cNvPr id="106" name="First Page Clipping" descr="First Page Clipping">
          <a:extLst>
            <a:ext uri="{FF2B5EF4-FFF2-40B4-BE49-F238E27FC236}">
              <a16:creationId xmlns:a16="http://schemas.microsoft.com/office/drawing/2014/main" id="{00000000-0008-0000-0000-00006A000000}"/>
            </a:ext>
          </a:extLst>
        </xdr:cNvPr>
        <xdr:cNvPicPr>
          <a:picLocks noChangeAspect="1"/>
        </xdr:cNvPicPr>
      </xdr:nvPicPr>
      <xdr:blipFill>
        <a:blip xmlns:r="http://schemas.openxmlformats.org/officeDocument/2006/relationships" r:embed="rId102"/>
        <a:stretch>
          <a:fillRect/>
        </a:stretch>
      </xdr:blipFill>
      <xdr:spPr>
        <a:xfrm>
          <a:off x="0" y="0"/>
          <a:ext cx="0" cy="0"/>
        </a:xfrm>
        <a:prstGeom prst="rect">
          <a:avLst/>
        </a:prstGeom>
      </xdr:spPr>
    </xdr:pic>
    <xdr:clientData/>
  </xdr:oneCellAnchor>
  <xdr:oneCellAnchor>
    <xdr:from>
      <xdr:col>87</xdr:col>
      <xdr:colOff>9525</xdr:colOff>
      <xdr:row>111</xdr:row>
      <xdr:rowOff>9525</xdr:rowOff>
    </xdr:from>
    <xdr:ext cx="1905000" cy="1905000"/>
    <xdr:pic>
      <xdr:nvPicPr>
        <xdr:cNvPr id="107" name="First Page Clipping" descr="First Page Clipping">
          <a:extLst>
            <a:ext uri="{FF2B5EF4-FFF2-40B4-BE49-F238E27FC236}">
              <a16:creationId xmlns:a16="http://schemas.microsoft.com/office/drawing/2014/main" id="{00000000-0008-0000-0000-00006B000000}"/>
            </a:ext>
          </a:extLst>
        </xdr:cNvPr>
        <xdr:cNvPicPr>
          <a:picLocks noChangeAspect="1"/>
        </xdr:cNvPicPr>
      </xdr:nvPicPr>
      <xdr:blipFill>
        <a:blip xmlns:r="http://schemas.openxmlformats.org/officeDocument/2006/relationships" r:embed="rId103"/>
        <a:stretch>
          <a:fillRect/>
        </a:stretch>
      </xdr:blipFill>
      <xdr:spPr>
        <a:xfrm>
          <a:off x="0" y="0"/>
          <a:ext cx="0" cy="0"/>
        </a:xfrm>
        <a:prstGeom prst="rect">
          <a:avLst/>
        </a:prstGeom>
      </xdr:spPr>
    </xdr:pic>
    <xdr:clientData/>
  </xdr:oneCellAnchor>
  <xdr:oneCellAnchor>
    <xdr:from>
      <xdr:col>87</xdr:col>
      <xdr:colOff>9525</xdr:colOff>
      <xdr:row>112</xdr:row>
      <xdr:rowOff>9525</xdr:rowOff>
    </xdr:from>
    <xdr:ext cx="1905000" cy="1905000"/>
    <xdr:pic>
      <xdr:nvPicPr>
        <xdr:cNvPr id="108" name="First Page Clipping" descr="First Page Clipping">
          <a:extLst>
            <a:ext uri="{FF2B5EF4-FFF2-40B4-BE49-F238E27FC236}">
              <a16:creationId xmlns:a16="http://schemas.microsoft.com/office/drawing/2014/main" id="{00000000-0008-0000-0000-00006C000000}"/>
            </a:ext>
          </a:extLst>
        </xdr:cNvPr>
        <xdr:cNvPicPr>
          <a:picLocks noChangeAspect="1"/>
        </xdr:cNvPicPr>
      </xdr:nvPicPr>
      <xdr:blipFill>
        <a:blip xmlns:r="http://schemas.openxmlformats.org/officeDocument/2006/relationships" r:embed="rId104"/>
        <a:stretch>
          <a:fillRect/>
        </a:stretch>
      </xdr:blipFill>
      <xdr:spPr>
        <a:xfrm>
          <a:off x="0" y="0"/>
          <a:ext cx="0" cy="0"/>
        </a:xfrm>
        <a:prstGeom prst="rect">
          <a:avLst/>
        </a:prstGeom>
      </xdr:spPr>
    </xdr:pic>
    <xdr:clientData/>
  </xdr:oneCellAnchor>
  <xdr:oneCellAnchor>
    <xdr:from>
      <xdr:col>87</xdr:col>
      <xdr:colOff>9525</xdr:colOff>
      <xdr:row>113</xdr:row>
      <xdr:rowOff>9525</xdr:rowOff>
    </xdr:from>
    <xdr:ext cx="1905000" cy="1905000"/>
    <xdr:pic>
      <xdr:nvPicPr>
        <xdr:cNvPr id="109" name="First Page Clipping" descr="First Page Clipping">
          <a:extLst>
            <a:ext uri="{FF2B5EF4-FFF2-40B4-BE49-F238E27FC236}">
              <a16:creationId xmlns:a16="http://schemas.microsoft.com/office/drawing/2014/main" id="{00000000-0008-0000-0000-00006D000000}"/>
            </a:ext>
          </a:extLst>
        </xdr:cNvPr>
        <xdr:cNvPicPr>
          <a:picLocks noChangeAspect="1"/>
        </xdr:cNvPicPr>
      </xdr:nvPicPr>
      <xdr:blipFill>
        <a:blip xmlns:r="http://schemas.openxmlformats.org/officeDocument/2006/relationships" r:embed="rId105"/>
        <a:stretch>
          <a:fillRect/>
        </a:stretch>
      </xdr:blipFill>
      <xdr:spPr>
        <a:xfrm>
          <a:off x="0" y="0"/>
          <a:ext cx="0" cy="0"/>
        </a:xfrm>
        <a:prstGeom prst="rect">
          <a:avLst/>
        </a:prstGeom>
      </xdr:spPr>
    </xdr:pic>
    <xdr:clientData/>
  </xdr:oneCellAnchor>
  <xdr:oneCellAnchor>
    <xdr:from>
      <xdr:col>87</xdr:col>
      <xdr:colOff>9525</xdr:colOff>
      <xdr:row>114</xdr:row>
      <xdr:rowOff>9525</xdr:rowOff>
    </xdr:from>
    <xdr:ext cx="1905000" cy="1905000"/>
    <xdr:pic>
      <xdr:nvPicPr>
        <xdr:cNvPr id="110" name="First Page Clipping" descr="First Page Clipping">
          <a:extLst>
            <a:ext uri="{FF2B5EF4-FFF2-40B4-BE49-F238E27FC236}">
              <a16:creationId xmlns:a16="http://schemas.microsoft.com/office/drawing/2014/main" id="{00000000-0008-0000-0000-00006E000000}"/>
            </a:ext>
          </a:extLst>
        </xdr:cNvPr>
        <xdr:cNvPicPr>
          <a:picLocks noChangeAspect="1"/>
        </xdr:cNvPicPr>
      </xdr:nvPicPr>
      <xdr:blipFill>
        <a:blip xmlns:r="http://schemas.openxmlformats.org/officeDocument/2006/relationships" r:embed="rId106"/>
        <a:stretch>
          <a:fillRect/>
        </a:stretch>
      </xdr:blipFill>
      <xdr:spPr>
        <a:xfrm>
          <a:off x="0" y="0"/>
          <a:ext cx="0" cy="0"/>
        </a:xfrm>
        <a:prstGeom prst="rect">
          <a:avLst/>
        </a:prstGeom>
      </xdr:spPr>
    </xdr:pic>
    <xdr:clientData/>
  </xdr:oneCellAnchor>
  <xdr:oneCellAnchor>
    <xdr:from>
      <xdr:col>87</xdr:col>
      <xdr:colOff>9525</xdr:colOff>
      <xdr:row>115</xdr:row>
      <xdr:rowOff>9525</xdr:rowOff>
    </xdr:from>
    <xdr:ext cx="1905000" cy="1905000"/>
    <xdr:pic>
      <xdr:nvPicPr>
        <xdr:cNvPr id="111" name="First Page Clipping" descr="First Page Clipping">
          <a:extLst>
            <a:ext uri="{FF2B5EF4-FFF2-40B4-BE49-F238E27FC236}">
              <a16:creationId xmlns:a16="http://schemas.microsoft.com/office/drawing/2014/main" id="{00000000-0008-0000-0000-00006F000000}"/>
            </a:ext>
          </a:extLst>
        </xdr:cNvPr>
        <xdr:cNvPicPr>
          <a:picLocks noChangeAspect="1"/>
        </xdr:cNvPicPr>
      </xdr:nvPicPr>
      <xdr:blipFill>
        <a:blip xmlns:r="http://schemas.openxmlformats.org/officeDocument/2006/relationships" r:embed="rId107"/>
        <a:stretch>
          <a:fillRect/>
        </a:stretch>
      </xdr:blipFill>
      <xdr:spPr>
        <a:xfrm>
          <a:off x="0" y="0"/>
          <a:ext cx="0" cy="0"/>
        </a:xfrm>
        <a:prstGeom prst="rect">
          <a:avLst/>
        </a:prstGeom>
      </xdr:spPr>
    </xdr:pic>
    <xdr:clientData/>
  </xdr:oneCellAnchor>
  <xdr:oneCellAnchor>
    <xdr:from>
      <xdr:col>87</xdr:col>
      <xdr:colOff>9525</xdr:colOff>
      <xdr:row>116</xdr:row>
      <xdr:rowOff>9525</xdr:rowOff>
    </xdr:from>
    <xdr:ext cx="1905000" cy="1905000"/>
    <xdr:pic>
      <xdr:nvPicPr>
        <xdr:cNvPr id="112" name="First Page Clipping" descr="First Page Clipping">
          <a:extLst>
            <a:ext uri="{FF2B5EF4-FFF2-40B4-BE49-F238E27FC236}">
              <a16:creationId xmlns:a16="http://schemas.microsoft.com/office/drawing/2014/main" id="{00000000-0008-0000-0000-000070000000}"/>
            </a:ext>
          </a:extLst>
        </xdr:cNvPr>
        <xdr:cNvPicPr>
          <a:picLocks noChangeAspect="1"/>
        </xdr:cNvPicPr>
      </xdr:nvPicPr>
      <xdr:blipFill>
        <a:blip xmlns:r="http://schemas.openxmlformats.org/officeDocument/2006/relationships" r:embed="rId108"/>
        <a:stretch>
          <a:fillRect/>
        </a:stretch>
      </xdr:blipFill>
      <xdr:spPr>
        <a:xfrm>
          <a:off x="0" y="0"/>
          <a:ext cx="0" cy="0"/>
        </a:xfrm>
        <a:prstGeom prst="rect">
          <a:avLst/>
        </a:prstGeom>
      </xdr:spPr>
    </xdr:pic>
    <xdr:clientData/>
  </xdr:oneCellAnchor>
  <xdr:oneCellAnchor>
    <xdr:from>
      <xdr:col>87</xdr:col>
      <xdr:colOff>9525</xdr:colOff>
      <xdr:row>117</xdr:row>
      <xdr:rowOff>9525</xdr:rowOff>
    </xdr:from>
    <xdr:ext cx="1905000" cy="1905000"/>
    <xdr:pic>
      <xdr:nvPicPr>
        <xdr:cNvPr id="113" name="First Page Clipping" descr="First Page Clipping">
          <a:extLst>
            <a:ext uri="{FF2B5EF4-FFF2-40B4-BE49-F238E27FC236}">
              <a16:creationId xmlns:a16="http://schemas.microsoft.com/office/drawing/2014/main" id="{00000000-0008-0000-0000-000071000000}"/>
            </a:ext>
          </a:extLst>
        </xdr:cNvPr>
        <xdr:cNvPicPr>
          <a:picLocks noChangeAspect="1"/>
        </xdr:cNvPicPr>
      </xdr:nvPicPr>
      <xdr:blipFill>
        <a:blip xmlns:r="http://schemas.openxmlformats.org/officeDocument/2006/relationships" r:embed="rId109"/>
        <a:stretch>
          <a:fillRect/>
        </a:stretch>
      </xdr:blipFill>
      <xdr:spPr>
        <a:xfrm>
          <a:off x="0" y="0"/>
          <a:ext cx="0" cy="0"/>
        </a:xfrm>
        <a:prstGeom prst="rect">
          <a:avLst/>
        </a:prstGeom>
      </xdr:spPr>
    </xdr:pic>
    <xdr:clientData/>
  </xdr:oneCellAnchor>
  <xdr:oneCellAnchor>
    <xdr:from>
      <xdr:col>87</xdr:col>
      <xdr:colOff>9525</xdr:colOff>
      <xdr:row>118</xdr:row>
      <xdr:rowOff>9525</xdr:rowOff>
    </xdr:from>
    <xdr:ext cx="1905000" cy="1905000"/>
    <xdr:pic>
      <xdr:nvPicPr>
        <xdr:cNvPr id="114" name="First Page Clipping" descr="First Page Clipping">
          <a:extLst>
            <a:ext uri="{FF2B5EF4-FFF2-40B4-BE49-F238E27FC236}">
              <a16:creationId xmlns:a16="http://schemas.microsoft.com/office/drawing/2014/main" id="{00000000-0008-0000-0000-000072000000}"/>
            </a:ext>
          </a:extLst>
        </xdr:cNvPr>
        <xdr:cNvPicPr>
          <a:picLocks noChangeAspect="1"/>
        </xdr:cNvPicPr>
      </xdr:nvPicPr>
      <xdr:blipFill>
        <a:blip xmlns:r="http://schemas.openxmlformats.org/officeDocument/2006/relationships" r:embed="rId81"/>
        <a:stretch>
          <a:fillRect/>
        </a:stretch>
      </xdr:blipFill>
      <xdr:spPr>
        <a:xfrm>
          <a:off x="0" y="0"/>
          <a:ext cx="0" cy="0"/>
        </a:xfrm>
        <a:prstGeom prst="rect">
          <a:avLst/>
        </a:prstGeom>
      </xdr:spPr>
    </xdr:pic>
    <xdr:clientData/>
  </xdr:oneCellAnchor>
  <xdr:oneCellAnchor>
    <xdr:from>
      <xdr:col>87</xdr:col>
      <xdr:colOff>9525</xdr:colOff>
      <xdr:row>119</xdr:row>
      <xdr:rowOff>9525</xdr:rowOff>
    </xdr:from>
    <xdr:ext cx="1905000" cy="1905000"/>
    <xdr:pic>
      <xdr:nvPicPr>
        <xdr:cNvPr id="115" name="First Page Clipping" descr="First Page Clipping">
          <a:extLst>
            <a:ext uri="{FF2B5EF4-FFF2-40B4-BE49-F238E27FC236}">
              <a16:creationId xmlns:a16="http://schemas.microsoft.com/office/drawing/2014/main" id="{00000000-0008-0000-0000-000073000000}"/>
            </a:ext>
          </a:extLst>
        </xdr:cNvPr>
        <xdr:cNvPicPr>
          <a:picLocks noChangeAspect="1"/>
        </xdr:cNvPicPr>
      </xdr:nvPicPr>
      <xdr:blipFill>
        <a:blip xmlns:r="http://schemas.openxmlformats.org/officeDocument/2006/relationships" r:embed="rId103"/>
        <a:stretch>
          <a:fillRect/>
        </a:stretch>
      </xdr:blipFill>
      <xdr:spPr>
        <a:xfrm>
          <a:off x="0" y="0"/>
          <a:ext cx="0" cy="0"/>
        </a:xfrm>
        <a:prstGeom prst="rect">
          <a:avLst/>
        </a:prstGeom>
      </xdr:spPr>
    </xdr:pic>
    <xdr:clientData/>
  </xdr:oneCellAnchor>
  <xdr:oneCellAnchor>
    <xdr:from>
      <xdr:col>87</xdr:col>
      <xdr:colOff>9525</xdr:colOff>
      <xdr:row>120</xdr:row>
      <xdr:rowOff>9525</xdr:rowOff>
    </xdr:from>
    <xdr:ext cx="1905000" cy="1905000"/>
    <xdr:pic>
      <xdr:nvPicPr>
        <xdr:cNvPr id="116" name="First Page Clipping" descr="First Page Clipping">
          <a:extLst>
            <a:ext uri="{FF2B5EF4-FFF2-40B4-BE49-F238E27FC236}">
              <a16:creationId xmlns:a16="http://schemas.microsoft.com/office/drawing/2014/main" id="{00000000-0008-0000-0000-000074000000}"/>
            </a:ext>
          </a:extLst>
        </xdr:cNvPr>
        <xdr:cNvPicPr>
          <a:picLocks noChangeAspect="1"/>
        </xdr:cNvPicPr>
      </xdr:nvPicPr>
      <xdr:blipFill>
        <a:blip xmlns:r="http://schemas.openxmlformats.org/officeDocument/2006/relationships" r:embed="rId110"/>
        <a:stretch>
          <a:fillRect/>
        </a:stretch>
      </xdr:blipFill>
      <xdr:spPr>
        <a:xfrm>
          <a:off x="0" y="0"/>
          <a:ext cx="0" cy="0"/>
        </a:xfrm>
        <a:prstGeom prst="rect">
          <a:avLst/>
        </a:prstGeom>
      </xdr:spPr>
    </xdr:pic>
    <xdr:clientData/>
  </xdr:oneCellAnchor>
  <xdr:oneCellAnchor>
    <xdr:from>
      <xdr:col>87</xdr:col>
      <xdr:colOff>9525</xdr:colOff>
      <xdr:row>121</xdr:row>
      <xdr:rowOff>9525</xdr:rowOff>
    </xdr:from>
    <xdr:ext cx="1905000" cy="1905000"/>
    <xdr:pic>
      <xdr:nvPicPr>
        <xdr:cNvPr id="117" name="First Page Clipping" descr="First Page Clipping">
          <a:extLst>
            <a:ext uri="{FF2B5EF4-FFF2-40B4-BE49-F238E27FC236}">
              <a16:creationId xmlns:a16="http://schemas.microsoft.com/office/drawing/2014/main" id="{00000000-0008-0000-0000-000075000000}"/>
            </a:ext>
          </a:extLst>
        </xdr:cNvPr>
        <xdr:cNvPicPr>
          <a:picLocks noChangeAspect="1"/>
        </xdr:cNvPicPr>
      </xdr:nvPicPr>
      <xdr:blipFill>
        <a:blip xmlns:r="http://schemas.openxmlformats.org/officeDocument/2006/relationships" r:embed="rId111"/>
        <a:stretch>
          <a:fillRect/>
        </a:stretch>
      </xdr:blipFill>
      <xdr:spPr>
        <a:xfrm>
          <a:off x="0" y="0"/>
          <a:ext cx="0" cy="0"/>
        </a:xfrm>
        <a:prstGeom prst="rect">
          <a:avLst/>
        </a:prstGeom>
      </xdr:spPr>
    </xdr:pic>
    <xdr:clientData/>
  </xdr:oneCellAnchor>
  <xdr:oneCellAnchor>
    <xdr:from>
      <xdr:col>87</xdr:col>
      <xdr:colOff>9525</xdr:colOff>
      <xdr:row>122</xdr:row>
      <xdr:rowOff>9525</xdr:rowOff>
    </xdr:from>
    <xdr:ext cx="1905000" cy="1905000"/>
    <xdr:pic>
      <xdr:nvPicPr>
        <xdr:cNvPr id="118" name="First Page Clipping" descr="First Page Clipping">
          <a:extLst>
            <a:ext uri="{FF2B5EF4-FFF2-40B4-BE49-F238E27FC236}">
              <a16:creationId xmlns:a16="http://schemas.microsoft.com/office/drawing/2014/main" id="{00000000-0008-0000-0000-000076000000}"/>
            </a:ext>
          </a:extLst>
        </xdr:cNvPr>
        <xdr:cNvPicPr>
          <a:picLocks noChangeAspect="1"/>
        </xdr:cNvPicPr>
      </xdr:nvPicPr>
      <xdr:blipFill>
        <a:blip xmlns:r="http://schemas.openxmlformats.org/officeDocument/2006/relationships" r:embed="rId112"/>
        <a:stretch>
          <a:fillRect/>
        </a:stretch>
      </xdr:blipFill>
      <xdr:spPr>
        <a:xfrm>
          <a:off x="0" y="0"/>
          <a:ext cx="0" cy="0"/>
        </a:xfrm>
        <a:prstGeom prst="rect">
          <a:avLst/>
        </a:prstGeom>
      </xdr:spPr>
    </xdr:pic>
    <xdr:clientData/>
  </xdr:oneCellAnchor>
  <xdr:oneCellAnchor>
    <xdr:from>
      <xdr:col>87</xdr:col>
      <xdr:colOff>9525</xdr:colOff>
      <xdr:row>123</xdr:row>
      <xdr:rowOff>9525</xdr:rowOff>
    </xdr:from>
    <xdr:ext cx="1905000" cy="1905000"/>
    <xdr:pic>
      <xdr:nvPicPr>
        <xdr:cNvPr id="119" name="First Page Clipping" descr="First Page Clipping">
          <a:extLst>
            <a:ext uri="{FF2B5EF4-FFF2-40B4-BE49-F238E27FC236}">
              <a16:creationId xmlns:a16="http://schemas.microsoft.com/office/drawing/2014/main" id="{00000000-0008-0000-0000-000077000000}"/>
            </a:ext>
          </a:extLst>
        </xdr:cNvPr>
        <xdr:cNvPicPr>
          <a:picLocks noChangeAspect="1"/>
        </xdr:cNvPicPr>
      </xdr:nvPicPr>
      <xdr:blipFill>
        <a:blip xmlns:r="http://schemas.openxmlformats.org/officeDocument/2006/relationships" r:embed="rId113"/>
        <a:stretch>
          <a:fillRect/>
        </a:stretch>
      </xdr:blipFill>
      <xdr:spPr>
        <a:xfrm>
          <a:off x="0" y="0"/>
          <a:ext cx="0" cy="0"/>
        </a:xfrm>
        <a:prstGeom prst="rect">
          <a:avLst/>
        </a:prstGeom>
      </xdr:spPr>
    </xdr:pic>
    <xdr:clientData/>
  </xdr:oneCellAnchor>
  <xdr:oneCellAnchor>
    <xdr:from>
      <xdr:col>87</xdr:col>
      <xdr:colOff>9525</xdr:colOff>
      <xdr:row>124</xdr:row>
      <xdr:rowOff>9525</xdr:rowOff>
    </xdr:from>
    <xdr:ext cx="1905000" cy="1905000"/>
    <xdr:pic>
      <xdr:nvPicPr>
        <xdr:cNvPr id="120" name="First Page Clipping" descr="First Page Clipping">
          <a:extLst>
            <a:ext uri="{FF2B5EF4-FFF2-40B4-BE49-F238E27FC236}">
              <a16:creationId xmlns:a16="http://schemas.microsoft.com/office/drawing/2014/main" id="{00000000-0008-0000-0000-000078000000}"/>
            </a:ext>
          </a:extLst>
        </xdr:cNvPr>
        <xdr:cNvPicPr>
          <a:picLocks noChangeAspect="1"/>
        </xdr:cNvPicPr>
      </xdr:nvPicPr>
      <xdr:blipFill>
        <a:blip xmlns:r="http://schemas.openxmlformats.org/officeDocument/2006/relationships" r:embed="rId114"/>
        <a:stretch>
          <a:fillRect/>
        </a:stretch>
      </xdr:blipFill>
      <xdr:spPr>
        <a:xfrm>
          <a:off x="0" y="0"/>
          <a:ext cx="0" cy="0"/>
        </a:xfrm>
        <a:prstGeom prst="rect">
          <a:avLst/>
        </a:prstGeom>
      </xdr:spPr>
    </xdr:pic>
    <xdr:clientData/>
  </xdr:oneCellAnchor>
  <xdr:oneCellAnchor>
    <xdr:from>
      <xdr:col>87</xdr:col>
      <xdr:colOff>9525</xdr:colOff>
      <xdr:row>125</xdr:row>
      <xdr:rowOff>9525</xdr:rowOff>
    </xdr:from>
    <xdr:ext cx="1905000" cy="1905000"/>
    <xdr:pic>
      <xdr:nvPicPr>
        <xdr:cNvPr id="121" name="First Page Clipping" descr="First Page Clipping">
          <a:extLst>
            <a:ext uri="{FF2B5EF4-FFF2-40B4-BE49-F238E27FC236}">
              <a16:creationId xmlns:a16="http://schemas.microsoft.com/office/drawing/2014/main" id="{00000000-0008-0000-0000-000079000000}"/>
            </a:ext>
          </a:extLst>
        </xdr:cNvPr>
        <xdr:cNvPicPr>
          <a:picLocks noChangeAspect="1"/>
        </xdr:cNvPicPr>
      </xdr:nvPicPr>
      <xdr:blipFill>
        <a:blip xmlns:r="http://schemas.openxmlformats.org/officeDocument/2006/relationships" r:embed="rId115"/>
        <a:stretch>
          <a:fillRect/>
        </a:stretch>
      </xdr:blipFill>
      <xdr:spPr>
        <a:xfrm>
          <a:off x="0" y="0"/>
          <a:ext cx="0" cy="0"/>
        </a:xfrm>
        <a:prstGeom prst="rect">
          <a:avLst/>
        </a:prstGeom>
      </xdr:spPr>
    </xdr:pic>
    <xdr:clientData/>
  </xdr:oneCellAnchor>
  <xdr:oneCellAnchor>
    <xdr:from>
      <xdr:col>87</xdr:col>
      <xdr:colOff>9525</xdr:colOff>
      <xdr:row>126</xdr:row>
      <xdr:rowOff>9525</xdr:rowOff>
    </xdr:from>
    <xdr:ext cx="1905000" cy="1905000"/>
    <xdr:pic>
      <xdr:nvPicPr>
        <xdr:cNvPr id="122" name="First Page Clipping" descr="First Page Clipping">
          <a:extLst>
            <a:ext uri="{FF2B5EF4-FFF2-40B4-BE49-F238E27FC236}">
              <a16:creationId xmlns:a16="http://schemas.microsoft.com/office/drawing/2014/main" id="{00000000-0008-0000-0000-00007A000000}"/>
            </a:ext>
          </a:extLst>
        </xdr:cNvPr>
        <xdr:cNvPicPr>
          <a:picLocks noChangeAspect="1"/>
        </xdr:cNvPicPr>
      </xdr:nvPicPr>
      <xdr:blipFill>
        <a:blip xmlns:r="http://schemas.openxmlformats.org/officeDocument/2006/relationships" r:embed="rId116"/>
        <a:stretch>
          <a:fillRect/>
        </a:stretch>
      </xdr:blipFill>
      <xdr:spPr>
        <a:xfrm>
          <a:off x="0" y="0"/>
          <a:ext cx="0" cy="0"/>
        </a:xfrm>
        <a:prstGeom prst="rect">
          <a:avLst/>
        </a:prstGeom>
      </xdr:spPr>
    </xdr:pic>
    <xdr:clientData/>
  </xdr:oneCellAnchor>
  <xdr:oneCellAnchor>
    <xdr:from>
      <xdr:col>87</xdr:col>
      <xdr:colOff>9525</xdr:colOff>
      <xdr:row>127</xdr:row>
      <xdr:rowOff>9525</xdr:rowOff>
    </xdr:from>
    <xdr:ext cx="1905000" cy="1905000"/>
    <xdr:pic>
      <xdr:nvPicPr>
        <xdr:cNvPr id="123" name="First Page Clipping" descr="First Page Clipping">
          <a:extLst>
            <a:ext uri="{FF2B5EF4-FFF2-40B4-BE49-F238E27FC236}">
              <a16:creationId xmlns:a16="http://schemas.microsoft.com/office/drawing/2014/main" id="{00000000-0008-0000-0000-00007B000000}"/>
            </a:ext>
          </a:extLst>
        </xdr:cNvPr>
        <xdr:cNvPicPr>
          <a:picLocks noChangeAspect="1"/>
        </xdr:cNvPicPr>
      </xdr:nvPicPr>
      <xdr:blipFill>
        <a:blip xmlns:r="http://schemas.openxmlformats.org/officeDocument/2006/relationships" r:embed="rId117"/>
        <a:stretch>
          <a:fillRect/>
        </a:stretch>
      </xdr:blipFill>
      <xdr:spPr>
        <a:xfrm>
          <a:off x="0" y="0"/>
          <a:ext cx="0" cy="0"/>
        </a:xfrm>
        <a:prstGeom prst="rect">
          <a:avLst/>
        </a:prstGeom>
      </xdr:spPr>
    </xdr:pic>
    <xdr:clientData/>
  </xdr:oneCellAnchor>
  <xdr:oneCellAnchor>
    <xdr:from>
      <xdr:col>87</xdr:col>
      <xdr:colOff>9525</xdr:colOff>
      <xdr:row>128</xdr:row>
      <xdr:rowOff>9525</xdr:rowOff>
    </xdr:from>
    <xdr:ext cx="1905000" cy="1905000"/>
    <xdr:pic>
      <xdr:nvPicPr>
        <xdr:cNvPr id="124" name="First Page Clipping" descr="First Page Clipping">
          <a:extLst>
            <a:ext uri="{FF2B5EF4-FFF2-40B4-BE49-F238E27FC236}">
              <a16:creationId xmlns:a16="http://schemas.microsoft.com/office/drawing/2014/main" id="{00000000-0008-0000-0000-00007C000000}"/>
            </a:ext>
          </a:extLst>
        </xdr:cNvPr>
        <xdr:cNvPicPr>
          <a:picLocks noChangeAspect="1"/>
        </xdr:cNvPicPr>
      </xdr:nvPicPr>
      <xdr:blipFill>
        <a:blip xmlns:r="http://schemas.openxmlformats.org/officeDocument/2006/relationships" r:embed="rId118"/>
        <a:stretch>
          <a:fillRect/>
        </a:stretch>
      </xdr:blipFill>
      <xdr:spPr>
        <a:xfrm>
          <a:off x="0" y="0"/>
          <a:ext cx="0" cy="0"/>
        </a:xfrm>
        <a:prstGeom prst="rect">
          <a:avLst/>
        </a:prstGeom>
      </xdr:spPr>
    </xdr:pic>
    <xdr:clientData/>
  </xdr:oneCellAnchor>
  <xdr:oneCellAnchor>
    <xdr:from>
      <xdr:col>87</xdr:col>
      <xdr:colOff>9525</xdr:colOff>
      <xdr:row>129</xdr:row>
      <xdr:rowOff>9525</xdr:rowOff>
    </xdr:from>
    <xdr:ext cx="1905000" cy="1905000"/>
    <xdr:pic>
      <xdr:nvPicPr>
        <xdr:cNvPr id="125" name="First Page Clipping" descr="First Page Clipping">
          <a:extLst>
            <a:ext uri="{FF2B5EF4-FFF2-40B4-BE49-F238E27FC236}">
              <a16:creationId xmlns:a16="http://schemas.microsoft.com/office/drawing/2014/main" id="{00000000-0008-0000-0000-00007D000000}"/>
            </a:ext>
          </a:extLst>
        </xdr:cNvPr>
        <xdr:cNvPicPr>
          <a:picLocks noChangeAspect="1"/>
        </xdr:cNvPicPr>
      </xdr:nvPicPr>
      <xdr:blipFill>
        <a:blip xmlns:r="http://schemas.openxmlformats.org/officeDocument/2006/relationships" r:embed="rId119"/>
        <a:stretch>
          <a:fillRect/>
        </a:stretch>
      </xdr:blipFill>
      <xdr:spPr>
        <a:xfrm>
          <a:off x="0" y="0"/>
          <a:ext cx="0" cy="0"/>
        </a:xfrm>
        <a:prstGeom prst="rect">
          <a:avLst/>
        </a:prstGeom>
      </xdr:spPr>
    </xdr:pic>
    <xdr:clientData/>
  </xdr:oneCellAnchor>
  <xdr:oneCellAnchor>
    <xdr:from>
      <xdr:col>87</xdr:col>
      <xdr:colOff>9525</xdr:colOff>
      <xdr:row>130</xdr:row>
      <xdr:rowOff>9525</xdr:rowOff>
    </xdr:from>
    <xdr:ext cx="1905000" cy="1905000"/>
    <xdr:pic>
      <xdr:nvPicPr>
        <xdr:cNvPr id="126" name="First Page Clipping" descr="First Page Clipping">
          <a:extLst>
            <a:ext uri="{FF2B5EF4-FFF2-40B4-BE49-F238E27FC236}">
              <a16:creationId xmlns:a16="http://schemas.microsoft.com/office/drawing/2014/main" id="{00000000-0008-0000-0000-00007E000000}"/>
            </a:ext>
          </a:extLst>
        </xdr:cNvPr>
        <xdr:cNvPicPr>
          <a:picLocks noChangeAspect="1"/>
        </xdr:cNvPicPr>
      </xdr:nvPicPr>
      <xdr:blipFill>
        <a:blip xmlns:r="http://schemas.openxmlformats.org/officeDocument/2006/relationships" r:embed="rId81"/>
        <a:stretch>
          <a:fillRect/>
        </a:stretch>
      </xdr:blipFill>
      <xdr:spPr>
        <a:xfrm>
          <a:off x="0" y="0"/>
          <a:ext cx="0" cy="0"/>
        </a:xfrm>
        <a:prstGeom prst="rect">
          <a:avLst/>
        </a:prstGeom>
      </xdr:spPr>
    </xdr:pic>
    <xdr:clientData/>
  </xdr:oneCellAnchor>
  <xdr:oneCellAnchor>
    <xdr:from>
      <xdr:col>87</xdr:col>
      <xdr:colOff>9525</xdr:colOff>
      <xdr:row>131</xdr:row>
      <xdr:rowOff>9525</xdr:rowOff>
    </xdr:from>
    <xdr:ext cx="1905000" cy="1905000"/>
    <xdr:pic>
      <xdr:nvPicPr>
        <xdr:cNvPr id="127" name="First Page Clipping" descr="First Page Clipping">
          <a:extLst>
            <a:ext uri="{FF2B5EF4-FFF2-40B4-BE49-F238E27FC236}">
              <a16:creationId xmlns:a16="http://schemas.microsoft.com/office/drawing/2014/main" id="{00000000-0008-0000-0000-00007F000000}"/>
            </a:ext>
          </a:extLst>
        </xdr:cNvPr>
        <xdr:cNvPicPr>
          <a:picLocks noChangeAspect="1"/>
        </xdr:cNvPicPr>
      </xdr:nvPicPr>
      <xdr:blipFill>
        <a:blip xmlns:r="http://schemas.openxmlformats.org/officeDocument/2006/relationships" r:embed="rId120"/>
        <a:stretch>
          <a:fillRect/>
        </a:stretch>
      </xdr:blipFill>
      <xdr:spPr>
        <a:xfrm>
          <a:off x="0" y="0"/>
          <a:ext cx="0" cy="0"/>
        </a:xfrm>
        <a:prstGeom prst="rect">
          <a:avLst/>
        </a:prstGeom>
      </xdr:spPr>
    </xdr:pic>
    <xdr:clientData/>
  </xdr:oneCellAnchor>
  <xdr:oneCellAnchor>
    <xdr:from>
      <xdr:col>87</xdr:col>
      <xdr:colOff>9525</xdr:colOff>
      <xdr:row>132</xdr:row>
      <xdr:rowOff>9525</xdr:rowOff>
    </xdr:from>
    <xdr:ext cx="1905000" cy="1905000"/>
    <xdr:pic>
      <xdr:nvPicPr>
        <xdr:cNvPr id="128" name="First Page Clipping" descr="First Page Clipping">
          <a:extLst>
            <a:ext uri="{FF2B5EF4-FFF2-40B4-BE49-F238E27FC236}">
              <a16:creationId xmlns:a16="http://schemas.microsoft.com/office/drawing/2014/main" id="{00000000-0008-0000-0000-000080000000}"/>
            </a:ext>
          </a:extLst>
        </xdr:cNvPr>
        <xdr:cNvPicPr>
          <a:picLocks noChangeAspect="1"/>
        </xdr:cNvPicPr>
      </xdr:nvPicPr>
      <xdr:blipFill>
        <a:blip xmlns:r="http://schemas.openxmlformats.org/officeDocument/2006/relationships" r:embed="rId121"/>
        <a:stretch>
          <a:fillRect/>
        </a:stretch>
      </xdr:blipFill>
      <xdr:spPr>
        <a:xfrm>
          <a:off x="0" y="0"/>
          <a:ext cx="0" cy="0"/>
        </a:xfrm>
        <a:prstGeom prst="rect">
          <a:avLst/>
        </a:prstGeom>
      </xdr:spPr>
    </xdr:pic>
    <xdr:clientData/>
  </xdr:oneCellAnchor>
  <xdr:oneCellAnchor>
    <xdr:from>
      <xdr:col>87</xdr:col>
      <xdr:colOff>9525</xdr:colOff>
      <xdr:row>133</xdr:row>
      <xdr:rowOff>9525</xdr:rowOff>
    </xdr:from>
    <xdr:ext cx="1905000" cy="1905000"/>
    <xdr:pic>
      <xdr:nvPicPr>
        <xdr:cNvPr id="129" name="First Page Clipping" descr="First Page Clipping">
          <a:extLst>
            <a:ext uri="{FF2B5EF4-FFF2-40B4-BE49-F238E27FC236}">
              <a16:creationId xmlns:a16="http://schemas.microsoft.com/office/drawing/2014/main" id="{00000000-0008-0000-0000-000081000000}"/>
            </a:ext>
          </a:extLst>
        </xdr:cNvPr>
        <xdr:cNvPicPr>
          <a:picLocks noChangeAspect="1"/>
        </xdr:cNvPicPr>
      </xdr:nvPicPr>
      <xdr:blipFill>
        <a:blip xmlns:r="http://schemas.openxmlformats.org/officeDocument/2006/relationships" r:embed="rId122"/>
        <a:stretch>
          <a:fillRect/>
        </a:stretch>
      </xdr:blipFill>
      <xdr:spPr>
        <a:xfrm>
          <a:off x="0" y="0"/>
          <a:ext cx="0" cy="0"/>
        </a:xfrm>
        <a:prstGeom prst="rect">
          <a:avLst/>
        </a:prstGeom>
      </xdr:spPr>
    </xdr:pic>
    <xdr:clientData/>
  </xdr:oneCellAnchor>
  <xdr:oneCellAnchor>
    <xdr:from>
      <xdr:col>87</xdr:col>
      <xdr:colOff>9525</xdr:colOff>
      <xdr:row>134</xdr:row>
      <xdr:rowOff>9525</xdr:rowOff>
    </xdr:from>
    <xdr:ext cx="1905000" cy="1905000"/>
    <xdr:pic>
      <xdr:nvPicPr>
        <xdr:cNvPr id="130" name="First Page Clipping" descr="First Page Clipping">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123"/>
        <a:stretch>
          <a:fillRect/>
        </a:stretch>
      </xdr:blipFill>
      <xdr:spPr>
        <a:xfrm>
          <a:off x="0" y="0"/>
          <a:ext cx="0" cy="0"/>
        </a:xfrm>
        <a:prstGeom prst="rect">
          <a:avLst/>
        </a:prstGeom>
      </xdr:spPr>
    </xdr:pic>
    <xdr:clientData/>
  </xdr:oneCellAnchor>
  <xdr:oneCellAnchor>
    <xdr:from>
      <xdr:col>87</xdr:col>
      <xdr:colOff>9525</xdr:colOff>
      <xdr:row>135</xdr:row>
      <xdr:rowOff>9525</xdr:rowOff>
    </xdr:from>
    <xdr:ext cx="1905000" cy="1905000"/>
    <xdr:pic>
      <xdr:nvPicPr>
        <xdr:cNvPr id="131" name="First Page Clipping" descr="First Page Clipping">
          <a:extLst>
            <a:ext uri="{FF2B5EF4-FFF2-40B4-BE49-F238E27FC236}">
              <a16:creationId xmlns:a16="http://schemas.microsoft.com/office/drawing/2014/main" id="{00000000-0008-0000-0000-000083000000}"/>
            </a:ext>
          </a:extLst>
        </xdr:cNvPr>
        <xdr:cNvPicPr>
          <a:picLocks noChangeAspect="1"/>
        </xdr:cNvPicPr>
      </xdr:nvPicPr>
      <xdr:blipFill>
        <a:blip xmlns:r="http://schemas.openxmlformats.org/officeDocument/2006/relationships" r:embed="rId124"/>
        <a:stretch>
          <a:fillRect/>
        </a:stretch>
      </xdr:blipFill>
      <xdr:spPr>
        <a:xfrm>
          <a:off x="0" y="0"/>
          <a:ext cx="0" cy="0"/>
        </a:xfrm>
        <a:prstGeom prst="rect">
          <a:avLst/>
        </a:prstGeom>
      </xdr:spPr>
    </xdr:pic>
    <xdr:clientData/>
  </xdr:oneCellAnchor>
  <xdr:oneCellAnchor>
    <xdr:from>
      <xdr:col>87</xdr:col>
      <xdr:colOff>9525</xdr:colOff>
      <xdr:row>136</xdr:row>
      <xdr:rowOff>9525</xdr:rowOff>
    </xdr:from>
    <xdr:ext cx="1905000" cy="1905000"/>
    <xdr:pic>
      <xdr:nvPicPr>
        <xdr:cNvPr id="132" name="First Page Clipping" descr="First Page Clipping">
          <a:extLst>
            <a:ext uri="{FF2B5EF4-FFF2-40B4-BE49-F238E27FC236}">
              <a16:creationId xmlns:a16="http://schemas.microsoft.com/office/drawing/2014/main" id="{00000000-0008-0000-0000-000084000000}"/>
            </a:ext>
          </a:extLst>
        </xdr:cNvPr>
        <xdr:cNvPicPr>
          <a:picLocks noChangeAspect="1"/>
        </xdr:cNvPicPr>
      </xdr:nvPicPr>
      <xdr:blipFill>
        <a:blip xmlns:r="http://schemas.openxmlformats.org/officeDocument/2006/relationships" r:embed="rId125"/>
        <a:stretch>
          <a:fillRect/>
        </a:stretch>
      </xdr:blipFill>
      <xdr:spPr>
        <a:xfrm>
          <a:off x="0" y="0"/>
          <a:ext cx="0" cy="0"/>
        </a:xfrm>
        <a:prstGeom prst="rect">
          <a:avLst/>
        </a:prstGeom>
      </xdr:spPr>
    </xdr:pic>
    <xdr:clientData/>
  </xdr:oneCellAnchor>
  <xdr:oneCellAnchor>
    <xdr:from>
      <xdr:col>87</xdr:col>
      <xdr:colOff>9525</xdr:colOff>
      <xdr:row>137</xdr:row>
      <xdr:rowOff>9525</xdr:rowOff>
    </xdr:from>
    <xdr:ext cx="1905000" cy="1905000"/>
    <xdr:pic>
      <xdr:nvPicPr>
        <xdr:cNvPr id="133" name="First Page Clipping" descr="First Page Clipping">
          <a:extLst>
            <a:ext uri="{FF2B5EF4-FFF2-40B4-BE49-F238E27FC236}">
              <a16:creationId xmlns:a16="http://schemas.microsoft.com/office/drawing/2014/main" id="{00000000-0008-0000-0000-000085000000}"/>
            </a:ext>
          </a:extLst>
        </xdr:cNvPr>
        <xdr:cNvPicPr>
          <a:picLocks noChangeAspect="1"/>
        </xdr:cNvPicPr>
      </xdr:nvPicPr>
      <xdr:blipFill>
        <a:blip xmlns:r="http://schemas.openxmlformats.org/officeDocument/2006/relationships" r:embed="rId126"/>
        <a:stretch>
          <a:fillRect/>
        </a:stretch>
      </xdr:blipFill>
      <xdr:spPr>
        <a:xfrm>
          <a:off x="0" y="0"/>
          <a:ext cx="0" cy="0"/>
        </a:xfrm>
        <a:prstGeom prst="rect">
          <a:avLst/>
        </a:prstGeom>
      </xdr:spPr>
    </xdr:pic>
    <xdr:clientData/>
  </xdr:oneCellAnchor>
  <xdr:oneCellAnchor>
    <xdr:from>
      <xdr:col>87</xdr:col>
      <xdr:colOff>9525</xdr:colOff>
      <xdr:row>138</xdr:row>
      <xdr:rowOff>9525</xdr:rowOff>
    </xdr:from>
    <xdr:ext cx="1905000" cy="1905000"/>
    <xdr:pic>
      <xdr:nvPicPr>
        <xdr:cNvPr id="134" name="First Page Clipping" descr="First Page Clipping">
          <a:extLst>
            <a:ext uri="{FF2B5EF4-FFF2-40B4-BE49-F238E27FC236}">
              <a16:creationId xmlns:a16="http://schemas.microsoft.com/office/drawing/2014/main" id="{00000000-0008-0000-0000-000086000000}"/>
            </a:ext>
          </a:extLst>
        </xdr:cNvPr>
        <xdr:cNvPicPr>
          <a:picLocks noChangeAspect="1"/>
        </xdr:cNvPicPr>
      </xdr:nvPicPr>
      <xdr:blipFill>
        <a:blip xmlns:r="http://schemas.openxmlformats.org/officeDocument/2006/relationships" r:embed="rId127"/>
        <a:stretch>
          <a:fillRect/>
        </a:stretch>
      </xdr:blipFill>
      <xdr:spPr>
        <a:xfrm>
          <a:off x="0" y="0"/>
          <a:ext cx="0" cy="0"/>
        </a:xfrm>
        <a:prstGeom prst="rect">
          <a:avLst/>
        </a:prstGeom>
      </xdr:spPr>
    </xdr:pic>
    <xdr:clientData/>
  </xdr:oneCellAnchor>
  <xdr:oneCellAnchor>
    <xdr:from>
      <xdr:col>87</xdr:col>
      <xdr:colOff>9525</xdr:colOff>
      <xdr:row>139</xdr:row>
      <xdr:rowOff>9525</xdr:rowOff>
    </xdr:from>
    <xdr:ext cx="1905000" cy="1905000"/>
    <xdr:pic>
      <xdr:nvPicPr>
        <xdr:cNvPr id="135" name="First Page Clipping" descr="First Page Clipping">
          <a:extLst>
            <a:ext uri="{FF2B5EF4-FFF2-40B4-BE49-F238E27FC236}">
              <a16:creationId xmlns:a16="http://schemas.microsoft.com/office/drawing/2014/main" id="{00000000-0008-0000-0000-000087000000}"/>
            </a:ext>
          </a:extLst>
        </xdr:cNvPr>
        <xdr:cNvPicPr>
          <a:picLocks noChangeAspect="1"/>
        </xdr:cNvPicPr>
      </xdr:nvPicPr>
      <xdr:blipFill>
        <a:blip xmlns:r="http://schemas.openxmlformats.org/officeDocument/2006/relationships" r:embed="rId128"/>
        <a:stretch>
          <a:fillRect/>
        </a:stretch>
      </xdr:blipFill>
      <xdr:spPr>
        <a:xfrm>
          <a:off x="0" y="0"/>
          <a:ext cx="0" cy="0"/>
        </a:xfrm>
        <a:prstGeom prst="rect">
          <a:avLst/>
        </a:prstGeom>
      </xdr:spPr>
    </xdr:pic>
    <xdr:clientData/>
  </xdr:oneCellAnchor>
  <xdr:oneCellAnchor>
    <xdr:from>
      <xdr:col>87</xdr:col>
      <xdr:colOff>9525</xdr:colOff>
      <xdr:row>140</xdr:row>
      <xdr:rowOff>9525</xdr:rowOff>
    </xdr:from>
    <xdr:ext cx="1905000" cy="1905000"/>
    <xdr:pic>
      <xdr:nvPicPr>
        <xdr:cNvPr id="136" name="First Page Clipping" descr="First Page Clipping">
          <a:extLst>
            <a:ext uri="{FF2B5EF4-FFF2-40B4-BE49-F238E27FC236}">
              <a16:creationId xmlns:a16="http://schemas.microsoft.com/office/drawing/2014/main" id="{00000000-0008-0000-0000-000088000000}"/>
            </a:ext>
          </a:extLst>
        </xdr:cNvPr>
        <xdr:cNvPicPr>
          <a:picLocks noChangeAspect="1"/>
        </xdr:cNvPicPr>
      </xdr:nvPicPr>
      <xdr:blipFill>
        <a:blip xmlns:r="http://schemas.openxmlformats.org/officeDocument/2006/relationships" r:embed="rId129"/>
        <a:stretch>
          <a:fillRect/>
        </a:stretch>
      </xdr:blipFill>
      <xdr:spPr>
        <a:xfrm>
          <a:off x="0" y="0"/>
          <a:ext cx="0" cy="0"/>
        </a:xfrm>
        <a:prstGeom prst="rect">
          <a:avLst/>
        </a:prstGeom>
      </xdr:spPr>
    </xdr:pic>
    <xdr:clientData/>
  </xdr:oneCellAnchor>
  <xdr:oneCellAnchor>
    <xdr:from>
      <xdr:col>87</xdr:col>
      <xdr:colOff>9525</xdr:colOff>
      <xdr:row>141</xdr:row>
      <xdr:rowOff>9525</xdr:rowOff>
    </xdr:from>
    <xdr:ext cx="1905000" cy="1905000"/>
    <xdr:pic>
      <xdr:nvPicPr>
        <xdr:cNvPr id="137" name="First Page Clipping" descr="First Page Clipping">
          <a:extLst>
            <a:ext uri="{FF2B5EF4-FFF2-40B4-BE49-F238E27FC236}">
              <a16:creationId xmlns:a16="http://schemas.microsoft.com/office/drawing/2014/main" id="{00000000-0008-0000-0000-000089000000}"/>
            </a:ext>
          </a:extLst>
        </xdr:cNvPr>
        <xdr:cNvPicPr>
          <a:picLocks noChangeAspect="1"/>
        </xdr:cNvPicPr>
      </xdr:nvPicPr>
      <xdr:blipFill>
        <a:blip xmlns:r="http://schemas.openxmlformats.org/officeDocument/2006/relationships" r:embed="rId130"/>
        <a:stretch>
          <a:fillRect/>
        </a:stretch>
      </xdr:blipFill>
      <xdr:spPr>
        <a:xfrm>
          <a:off x="0" y="0"/>
          <a:ext cx="0" cy="0"/>
        </a:xfrm>
        <a:prstGeom prst="rect">
          <a:avLst/>
        </a:prstGeom>
      </xdr:spPr>
    </xdr:pic>
    <xdr:clientData/>
  </xdr:oneCellAnchor>
  <xdr:oneCellAnchor>
    <xdr:from>
      <xdr:col>87</xdr:col>
      <xdr:colOff>9525</xdr:colOff>
      <xdr:row>142</xdr:row>
      <xdr:rowOff>9525</xdr:rowOff>
    </xdr:from>
    <xdr:ext cx="1905000" cy="1905000"/>
    <xdr:pic>
      <xdr:nvPicPr>
        <xdr:cNvPr id="138" name="First Page Clipping" descr="First Page Clipping">
          <a:extLst>
            <a:ext uri="{FF2B5EF4-FFF2-40B4-BE49-F238E27FC236}">
              <a16:creationId xmlns:a16="http://schemas.microsoft.com/office/drawing/2014/main" id="{00000000-0008-0000-0000-00008A000000}"/>
            </a:ext>
          </a:extLst>
        </xdr:cNvPr>
        <xdr:cNvPicPr>
          <a:picLocks noChangeAspect="1"/>
        </xdr:cNvPicPr>
      </xdr:nvPicPr>
      <xdr:blipFill>
        <a:blip xmlns:r="http://schemas.openxmlformats.org/officeDocument/2006/relationships" r:embed="rId131"/>
        <a:stretch>
          <a:fillRect/>
        </a:stretch>
      </xdr:blipFill>
      <xdr:spPr>
        <a:xfrm>
          <a:off x="0" y="0"/>
          <a:ext cx="0" cy="0"/>
        </a:xfrm>
        <a:prstGeom prst="rect">
          <a:avLst/>
        </a:prstGeom>
      </xdr:spPr>
    </xdr:pic>
    <xdr:clientData/>
  </xdr:oneCellAnchor>
  <xdr:oneCellAnchor>
    <xdr:from>
      <xdr:col>87</xdr:col>
      <xdr:colOff>9525</xdr:colOff>
      <xdr:row>143</xdr:row>
      <xdr:rowOff>9525</xdr:rowOff>
    </xdr:from>
    <xdr:ext cx="1905000" cy="1905000"/>
    <xdr:pic>
      <xdr:nvPicPr>
        <xdr:cNvPr id="139" name="First Page Clipping" descr="First Page Clipping">
          <a:extLst>
            <a:ext uri="{FF2B5EF4-FFF2-40B4-BE49-F238E27FC236}">
              <a16:creationId xmlns:a16="http://schemas.microsoft.com/office/drawing/2014/main" id="{00000000-0008-0000-0000-00008B000000}"/>
            </a:ext>
          </a:extLst>
        </xdr:cNvPr>
        <xdr:cNvPicPr>
          <a:picLocks noChangeAspect="1"/>
        </xdr:cNvPicPr>
      </xdr:nvPicPr>
      <xdr:blipFill>
        <a:blip xmlns:r="http://schemas.openxmlformats.org/officeDocument/2006/relationships" r:embed="rId132"/>
        <a:stretch>
          <a:fillRect/>
        </a:stretch>
      </xdr:blipFill>
      <xdr:spPr>
        <a:xfrm>
          <a:off x="0" y="0"/>
          <a:ext cx="0" cy="0"/>
        </a:xfrm>
        <a:prstGeom prst="rect">
          <a:avLst/>
        </a:prstGeom>
      </xdr:spPr>
    </xdr:pic>
    <xdr:clientData/>
  </xdr:oneCellAnchor>
  <xdr:oneCellAnchor>
    <xdr:from>
      <xdr:col>87</xdr:col>
      <xdr:colOff>9525</xdr:colOff>
      <xdr:row>144</xdr:row>
      <xdr:rowOff>9525</xdr:rowOff>
    </xdr:from>
    <xdr:ext cx="1905000" cy="1905000"/>
    <xdr:pic>
      <xdr:nvPicPr>
        <xdr:cNvPr id="140" name="First Page Clipping" descr="First Page Clipping">
          <a:extLst>
            <a:ext uri="{FF2B5EF4-FFF2-40B4-BE49-F238E27FC236}">
              <a16:creationId xmlns:a16="http://schemas.microsoft.com/office/drawing/2014/main" id="{00000000-0008-0000-0000-00008C000000}"/>
            </a:ext>
          </a:extLst>
        </xdr:cNvPr>
        <xdr:cNvPicPr>
          <a:picLocks noChangeAspect="1"/>
        </xdr:cNvPicPr>
      </xdr:nvPicPr>
      <xdr:blipFill>
        <a:blip xmlns:r="http://schemas.openxmlformats.org/officeDocument/2006/relationships" r:embed="rId133"/>
        <a:stretch>
          <a:fillRect/>
        </a:stretch>
      </xdr:blipFill>
      <xdr:spPr>
        <a:xfrm>
          <a:off x="0" y="0"/>
          <a:ext cx="0" cy="0"/>
        </a:xfrm>
        <a:prstGeom prst="rect">
          <a:avLst/>
        </a:prstGeom>
      </xdr:spPr>
    </xdr:pic>
    <xdr:clientData/>
  </xdr:oneCellAnchor>
  <xdr:oneCellAnchor>
    <xdr:from>
      <xdr:col>87</xdr:col>
      <xdr:colOff>9525</xdr:colOff>
      <xdr:row>145</xdr:row>
      <xdr:rowOff>9525</xdr:rowOff>
    </xdr:from>
    <xdr:ext cx="1905000" cy="1905000"/>
    <xdr:pic>
      <xdr:nvPicPr>
        <xdr:cNvPr id="141" name="First Page Clipping" descr="First Page Clipping">
          <a:extLst>
            <a:ext uri="{FF2B5EF4-FFF2-40B4-BE49-F238E27FC236}">
              <a16:creationId xmlns:a16="http://schemas.microsoft.com/office/drawing/2014/main" id="{00000000-0008-0000-0000-00008D000000}"/>
            </a:ext>
          </a:extLst>
        </xdr:cNvPr>
        <xdr:cNvPicPr>
          <a:picLocks noChangeAspect="1"/>
        </xdr:cNvPicPr>
      </xdr:nvPicPr>
      <xdr:blipFill>
        <a:blip xmlns:r="http://schemas.openxmlformats.org/officeDocument/2006/relationships" r:embed="rId134"/>
        <a:stretch>
          <a:fillRect/>
        </a:stretch>
      </xdr:blipFill>
      <xdr:spPr>
        <a:xfrm>
          <a:off x="0" y="0"/>
          <a:ext cx="0" cy="0"/>
        </a:xfrm>
        <a:prstGeom prst="rect">
          <a:avLst/>
        </a:prstGeom>
      </xdr:spPr>
    </xdr:pic>
    <xdr:clientData/>
  </xdr:oneCellAnchor>
  <xdr:oneCellAnchor>
    <xdr:from>
      <xdr:col>87</xdr:col>
      <xdr:colOff>9525</xdr:colOff>
      <xdr:row>146</xdr:row>
      <xdr:rowOff>9525</xdr:rowOff>
    </xdr:from>
    <xdr:ext cx="1905000" cy="1905000"/>
    <xdr:pic>
      <xdr:nvPicPr>
        <xdr:cNvPr id="142" name="First Page Clipping" descr="First Page Clipping">
          <a:extLst>
            <a:ext uri="{FF2B5EF4-FFF2-40B4-BE49-F238E27FC236}">
              <a16:creationId xmlns:a16="http://schemas.microsoft.com/office/drawing/2014/main" id="{00000000-0008-0000-0000-00008E000000}"/>
            </a:ext>
          </a:extLst>
        </xdr:cNvPr>
        <xdr:cNvPicPr>
          <a:picLocks noChangeAspect="1"/>
        </xdr:cNvPicPr>
      </xdr:nvPicPr>
      <xdr:blipFill>
        <a:blip xmlns:r="http://schemas.openxmlformats.org/officeDocument/2006/relationships" r:embed="rId135"/>
        <a:stretch>
          <a:fillRect/>
        </a:stretch>
      </xdr:blipFill>
      <xdr:spPr>
        <a:xfrm>
          <a:off x="0" y="0"/>
          <a:ext cx="0" cy="0"/>
        </a:xfrm>
        <a:prstGeom prst="rect">
          <a:avLst/>
        </a:prstGeom>
      </xdr:spPr>
    </xdr:pic>
    <xdr:clientData/>
  </xdr:oneCellAnchor>
  <xdr:oneCellAnchor>
    <xdr:from>
      <xdr:col>87</xdr:col>
      <xdr:colOff>9525</xdr:colOff>
      <xdr:row>147</xdr:row>
      <xdr:rowOff>9525</xdr:rowOff>
    </xdr:from>
    <xdr:ext cx="1905000" cy="1905000"/>
    <xdr:pic>
      <xdr:nvPicPr>
        <xdr:cNvPr id="143" name="First Page Clipping" descr="First Page Clipping">
          <a:extLst>
            <a:ext uri="{FF2B5EF4-FFF2-40B4-BE49-F238E27FC236}">
              <a16:creationId xmlns:a16="http://schemas.microsoft.com/office/drawing/2014/main" id="{00000000-0008-0000-0000-00008F000000}"/>
            </a:ext>
          </a:extLst>
        </xdr:cNvPr>
        <xdr:cNvPicPr>
          <a:picLocks noChangeAspect="1"/>
        </xdr:cNvPicPr>
      </xdr:nvPicPr>
      <xdr:blipFill>
        <a:blip xmlns:r="http://schemas.openxmlformats.org/officeDocument/2006/relationships" r:embed="rId136"/>
        <a:stretch>
          <a:fillRect/>
        </a:stretch>
      </xdr:blipFill>
      <xdr:spPr>
        <a:xfrm>
          <a:off x="0" y="0"/>
          <a:ext cx="0" cy="0"/>
        </a:xfrm>
        <a:prstGeom prst="rect">
          <a:avLst/>
        </a:prstGeom>
      </xdr:spPr>
    </xdr:pic>
    <xdr:clientData/>
  </xdr:oneCellAnchor>
  <xdr:oneCellAnchor>
    <xdr:from>
      <xdr:col>87</xdr:col>
      <xdr:colOff>9525</xdr:colOff>
      <xdr:row>148</xdr:row>
      <xdr:rowOff>9525</xdr:rowOff>
    </xdr:from>
    <xdr:ext cx="1905000" cy="1905000"/>
    <xdr:pic>
      <xdr:nvPicPr>
        <xdr:cNvPr id="144" name="First Page Clipping" descr="First Page Clipping">
          <a:extLst>
            <a:ext uri="{FF2B5EF4-FFF2-40B4-BE49-F238E27FC236}">
              <a16:creationId xmlns:a16="http://schemas.microsoft.com/office/drawing/2014/main" id="{00000000-0008-0000-0000-000090000000}"/>
            </a:ext>
          </a:extLst>
        </xdr:cNvPr>
        <xdr:cNvPicPr>
          <a:picLocks noChangeAspect="1"/>
        </xdr:cNvPicPr>
      </xdr:nvPicPr>
      <xdr:blipFill>
        <a:blip xmlns:r="http://schemas.openxmlformats.org/officeDocument/2006/relationships" r:embed="rId137"/>
        <a:stretch>
          <a:fillRect/>
        </a:stretch>
      </xdr:blipFill>
      <xdr:spPr>
        <a:xfrm>
          <a:off x="0" y="0"/>
          <a:ext cx="0" cy="0"/>
        </a:xfrm>
        <a:prstGeom prst="rect">
          <a:avLst/>
        </a:prstGeom>
      </xdr:spPr>
    </xdr:pic>
    <xdr:clientData/>
  </xdr:oneCellAnchor>
  <xdr:oneCellAnchor>
    <xdr:from>
      <xdr:col>87</xdr:col>
      <xdr:colOff>9525</xdr:colOff>
      <xdr:row>149</xdr:row>
      <xdr:rowOff>9525</xdr:rowOff>
    </xdr:from>
    <xdr:ext cx="1905000" cy="1905000"/>
    <xdr:pic>
      <xdr:nvPicPr>
        <xdr:cNvPr id="145" name="First Page Clipping" descr="First Page Clipping">
          <a:extLst>
            <a:ext uri="{FF2B5EF4-FFF2-40B4-BE49-F238E27FC236}">
              <a16:creationId xmlns:a16="http://schemas.microsoft.com/office/drawing/2014/main" id="{00000000-0008-0000-0000-000091000000}"/>
            </a:ext>
          </a:extLst>
        </xdr:cNvPr>
        <xdr:cNvPicPr>
          <a:picLocks noChangeAspect="1"/>
        </xdr:cNvPicPr>
      </xdr:nvPicPr>
      <xdr:blipFill>
        <a:blip xmlns:r="http://schemas.openxmlformats.org/officeDocument/2006/relationships" r:embed="rId138"/>
        <a:stretch>
          <a:fillRect/>
        </a:stretch>
      </xdr:blipFill>
      <xdr:spPr>
        <a:xfrm>
          <a:off x="0" y="0"/>
          <a:ext cx="0" cy="0"/>
        </a:xfrm>
        <a:prstGeom prst="rect">
          <a:avLst/>
        </a:prstGeom>
      </xdr:spPr>
    </xdr:pic>
    <xdr:clientData/>
  </xdr:oneCellAnchor>
  <xdr:oneCellAnchor>
    <xdr:from>
      <xdr:col>87</xdr:col>
      <xdr:colOff>9525</xdr:colOff>
      <xdr:row>151</xdr:row>
      <xdr:rowOff>9525</xdr:rowOff>
    </xdr:from>
    <xdr:ext cx="1905000" cy="1905000"/>
    <xdr:pic>
      <xdr:nvPicPr>
        <xdr:cNvPr id="146" name="First Page Clipping" descr="First Page Clipping">
          <a:extLst>
            <a:ext uri="{FF2B5EF4-FFF2-40B4-BE49-F238E27FC236}">
              <a16:creationId xmlns:a16="http://schemas.microsoft.com/office/drawing/2014/main" id="{00000000-0008-0000-0000-000092000000}"/>
            </a:ext>
          </a:extLst>
        </xdr:cNvPr>
        <xdr:cNvPicPr>
          <a:picLocks noChangeAspect="1"/>
        </xdr:cNvPicPr>
      </xdr:nvPicPr>
      <xdr:blipFill>
        <a:blip xmlns:r="http://schemas.openxmlformats.org/officeDocument/2006/relationships" r:embed="rId102"/>
        <a:stretch>
          <a:fillRect/>
        </a:stretch>
      </xdr:blipFill>
      <xdr:spPr>
        <a:xfrm>
          <a:off x="0" y="0"/>
          <a:ext cx="0" cy="0"/>
        </a:xfrm>
        <a:prstGeom prst="rect">
          <a:avLst/>
        </a:prstGeom>
      </xdr:spPr>
    </xdr:pic>
    <xdr:clientData/>
  </xdr:oneCellAnchor>
  <xdr:oneCellAnchor>
    <xdr:from>
      <xdr:col>87</xdr:col>
      <xdr:colOff>9525</xdr:colOff>
      <xdr:row>153</xdr:row>
      <xdr:rowOff>9525</xdr:rowOff>
    </xdr:from>
    <xdr:ext cx="1905000" cy="1905000"/>
    <xdr:pic>
      <xdr:nvPicPr>
        <xdr:cNvPr id="147" name="First Page Clipping" descr="First Page Clipping">
          <a:extLst>
            <a:ext uri="{FF2B5EF4-FFF2-40B4-BE49-F238E27FC236}">
              <a16:creationId xmlns:a16="http://schemas.microsoft.com/office/drawing/2014/main" id="{00000000-0008-0000-0000-000093000000}"/>
            </a:ext>
          </a:extLst>
        </xdr:cNvPr>
        <xdr:cNvPicPr>
          <a:picLocks noChangeAspect="1"/>
        </xdr:cNvPicPr>
      </xdr:nvPicPr>
      <xdr:blipFill>
        <a:blip xmlns:r="http://schemas.openxmlformats.org/officeDocument/2006/relationships" r:embed="rId139"/>
        <a:stretch>
          <a:fillRect/>
        </a:stretch>
      </xdr:blipFill>
      <xdr:spPr>
        <a:xfrm>
          <a:off x="0" y="0"/>
          <a:ext cx="0" cy="0"/>
        </a:xfrm>
        <a:prstGeom prst="rect">
          <a:avLst/>
        </a:prstGeom>
      </xdr:spPr>
    </xdr:pic>
    <xdr:clientData/>
  </xdr:oneCellAnchor>
  <xdr:oneCellAnchor>
    <xdr:from>
      <xdr:col>87</xdr:col>
      <xdr:colOff>9525</xdr:colOff>
      <xdr:row>154</xdr:row>
      <xdr:rowOff>9525</xdr:rowOff>
    </xdr:from>
    <xdr:ext cx="1905000" cy="1905000"/>
    <xdr:pic>
      <xdr:nvPicPr>
        <xdr:cNvPr id="148" name="First Page Clipping" descr="First Page Clipping">
          <a:extLst>
            <a:ext uri="{FF2B5EF4-FFF2-40B4-BE49-F238E27FC236}">
              <a16:creationId xmlns:a16="http://schemas.microsoft.com/office/drawing/2014/main" id="{00000000-0008-0000-0000-000094000000}"/>
            </a:ext>
          </a:extLst>
        </xdr:cNvPr>
        <xdr:cNvPicPr>
          <a:picLocks noChangeAspect="1"/>
        </xdr:cNvPicPr>
      </xdr:nvPicPr>
      <xdr:blipFill>
        <a:blip xmlns:r="http://schemas.openxmlformats.org/officeDocument/2006/relationships" r:embed="rId140"/>
        <a:stretch>
          <a:fillRect/>
        </a:stretch>
      </xdr:blipFill>
      <xdr:spPr>
        <a:xfrm>
          <a:off x="0" y="0"/>
          <a:ext cx="0" cy="0"/>
        </a:xfrm>
        <a:prstGeom prst="rect">
          <a:avLst/>
        </a:prstGeom>
      </xdr:spPr>
    </xdr:pic>
    <xdr:clientData/>
  </xdr:oneCellAnchor>
  <xdr:oneCellAnchor>
    <xdr:from>
      <xdr:col>87</xdr:col>
      <xdr:colOff>9525</xdr:colOff>
      <xdr:row>155</xdr:row>
      <xdr:rowOff>9525</xdr:rowOff>
    </xdr:from>
    <xdr:ext cx="1905000" cy="1905000"/>
    <xdr:pic>
      <xdr:nvPicPr>
        <xdr:cNvPr id="149" name="First Page Clipping" descr="First Page Clipping">
          <a:extLst>
            <a:ext uri="{FF2B5EF4-FFF2-40B4-BE49-F238E27FC236}">
              <a16:creationId xmlns:a16="http://schemas.microsoft.com/office/drawing/2014/main" id="{00000000-0008-0000-0000-000095000000}"/>
            </a:ext>
          </a:extLst>
        </xdr:cNvPr>
        <xdr:cNvPicPr>
          <a:picLocks noChangeAspect="1"/>
        </xdr:cNvPicPr>
      </xdr:nvPicPr>
      <xdr:blipFill>
        <a:blip xmlns:r="http://schemas.openxmlformats.org/officeDocument/2006/relationships" r:embed="rId141"/>
        <a:stretch>
          <a:fillRect/>
        </a:stretch>
      </xdr:blipFill>
      <xdr:spPr>
        <a:xfrm>
          <a:off x="0" y="0"/>
          <a:ext cx="0" cy="0"/>
        </a:xfrm>
        <a:prstGeom prst="rect">
          <a:avLst/>
        </a:prstGeom>
      </xdr:spPr>
    </xdr:pic>
    <xdr:clientData/>
  </xdr:oneCellAnchor>
  <xdr:oneCellAnchor>
    <xdr:from>
      <xdr:col>87</xdr:col>
      <xdr:colOff>9525</xdr:colOff>
      <xdr:row>156</xdr:row>
      <xdr:rowOff>9525</xdr:rowOff>
    </xdr:from>
    <xdr:ext cx="1905000" cy="1905000"/>
    <xdr:pic>
      <xdr:nvPicPr>
        <xdr:cNvPr id="150" name="First Page Clipping" descr="First Page Clipping">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142"/>
        <a:stretch>
          <a:fillRect/>
        </a:stretch>
      </xdr:blipFill>
      <xdr:spPr>
        <a:xfrm>
          <a:off x="0" y="0"/>
          <a:ext cx="0" cy="0"/>
        </a:xfrm>
        <a:prstGeom prst="rect">
          <a:avLst/>
        </a:prstGeom>
      </xdr:spPr>
    </xdr:pic>
    <xdr:clientData/>
  </xdr:oneCellAnchor>
  <xdr:oneCellAnchor>
    <xdr:from>
      <xdr:col>87</xdr:col>
      <xdr:colOff>9525</xdr:colOff>
      <xdr:row>157</xdr:row>
      <xdr:rowOff>9525</xdr:rowOff>
    </xdr:from>
    <xdr:ext cx="1905000" cy="1905000"/>
    <xdr:pic>
      <xdr:nvPicPr>
        <xdr:cNvPr id="151" name="First Page Clipping" descr="First Page Clipping">
          <a:extLst>
            <a:ext uri="{FF2B5EF4-FFF2-40B4-BE49-F238E27FC236}">
              <a16:creationId xmlns:a16="http://schemas.microsoft.com/office/drawing/2014/main" id="{00000000-0008-0000-0000-000097000000}"/>
            </a:ext>
          </a:extLst>
        </xdr:cNvPr>
        <xdr:cNvPicPr>
          <a:picLocks noChangeAspect="1"/>
        </xdr:cNvPicPr>
      </xdr:nvPicPr>
      <xdr:blipFill>
        <a:blip xmlns:r="http://schemas.openxmlformats.org/officeDocument/2006/relationships" r:embed="rId143"/>
        <a:stretch>
          <a:fillRect/>
        </a:stretch>
      </xdr:blipFill>
      <xdr:spPr>
        <a:xfrm>
          <a:off x="0" y="0"/>
          <a:ext cx="0" cy="0"/>
        </a:xfrm>
        <a:prstGeom prst="rect">
          <a:avLst/>
        </a:prstGeom>
      </xdr:spPr>
    </xdr:pic>
    <xdr:clientData/>
  </xdr:oneCellAnchor>
  <xdr:oneCellAnchor>
    <xdr:from>
      <xdr:col>87</xdr:col>
      <xdr:colOff>9525</xdr:colOff>
      <xdr:row>158</xdr:row>
      <xdr:rowOff>9525</xdr:rowOff>
    </xdr:from>
    <xdr:ext cx="1905000" cy="1905000"/>
    <xdr:pic>
      <xdr:nvPicPr>
        <xdr:cNvPr id="152" name="First Page Clipping" descr="First Page Clipping">
          <a:extLst>
            <a:ext uri="{FF2B5EF4-FFF2-40B4-BE49-F238E27FC236}">
              <a16:creationId xmlns:a16="http://schemas.microsoft.com/office/drawing/2014/main" id="{00000000-0008-0000-0000-000098000000}"/>
            </a:ext>
          </a:extLst>
        </xdr:cNvPr>
        <xdr:cNvPicPr>
          <a:picLocks noChangeAspect="1"/>
        </xdr:cNvPicPr>
      </xdr:nvPicPr>
      <xdr:blipFill>
        <a:blip xmlns:r="http://schemas.openxmlformats.org/officeDocument/2006/relationships" r:embed="rId144"/>
        <a:stretch>
          <a:fillRect/>
        </a:stretch>
      </xdr:blipFill>
      <xdr:spPr>
        <a:xfrm>
          <a:off x="0" y="0"/>
          <a:ext cx="0" cy="0"/>
        </a:xfrm>
        <a:prstGeom prst="rect">
          <a:avLst/>
        </a:prstGeom>
      </xdr:spPr>
    </xdr:pic>
    <xdr:clientData/>
  </xdr:oneCellAnchor>
  <xdr:oneCellAnchor>
    <xdr:from>
      <xdr:col>87</xdr:col>
      <xdr:colOff>9525</xdr:colOff>
      <xdr:row>159</xdr:row>
      <xdr:rowOff>9525</xdr:rowOff>
    </xdr:from>
    <xdr:ext cx="1905000" cy="1905000"/>
    <xdr:pic>
      <xdr:nvPicPr>
        <xdr:cNvPr id="153" name="First Page Clipping" descr="First Page Clipping">
          <a:extLst>
            <a:ext uri="{FF2B5EF4-FFF2-40B4-BE49-F238E27FC236}">
              <a16:creationId xmlns:a16="http://schemas.microsoft.com/office/drawing/2014/main" id="{00000000-0008-0000-0000-000099000000}"/>
            </a:ext>
          </a:extLst>
        </xdr:cNvPr>
        <xdr:cNvPicPr>
          <a:picLocks noChangeAspect="1"/>
        </xdr:cNvPicPr>
      </xdr:nvPicPr>
      <xdr:blipFill>
        <a:blip xmlns:r="http://schemas.openxmlformats.org/officeDocument/2006/relationships" r:embed="rId144"/>
        <a:stretch>
          <a:fillRect/>
        </a:stretch>
      </xdr:blipFill>
      <xdr:spPr>
        <a:xfrm>
          <a:off x="0" y="0"/>
          <a:ext cx="0" cy="0"/>
        </a:xfrm>
        <a:prstGeom prst="rect">
          <a:avLst/>
        </a:prstGeom>
      </xdr:spPr>
    </xdr:pic>
    <xdr:clientData/>
  </xdr:oneCellAnchor>
  <xdr:oneCellAnchor>
    <xdr:from>
      <xdr:col>87</xdr:col>
      <xdr:colOff>9525</xdr:colOff>
      <xdr:row>160</xdr:row>
      <xdr:rowOff>9525</xdr:rowOff>
    </xdr:from>
    <xdr:ext cx="1905000" cy="1905000"/>
    <xdr:pic>
      <xdr:nvPicPr>
        <xdr:cNvPr id="154" name="First Page Clipping" descr="First Page Clipping">
          <a:extLst>
            <a:ext uri="{FF2B5EF4-FFF2-40B4-BE49-F238E27FC236}">
              <a16:creationId xmlns:a16="http://schemas.microsoft.com/office/drawing/2014/main" id="{00000000-0008-0000-0000-00009A000000}"/>
            </a:ext>
          </a:extLst>
        </xdr:cNvPr>
        <xdr:cNvPicPr>
          <a:picLocks noChangeAspect="1"/>
        </xdr:cNvPicPr>
      </xdr:nvPicPr>
      <xdr:blipFill>
        <a:blip xmlns:r="http://schemas.openxmlformats.org/officeDocument/2006/relationships" r:embed="rId144"/>
        <a:stretch>
          <a:fillRect/>
        </a:stretch>
      </xdr:blipFill>
      <xdr:spPr>
        <a:xfrm>
          <a:off x="0" y="0"/>
          <a:ext cx="0" cy="0"/>
        </a:xfrm>
        <a:prstGeom prst="rect">
          <a:avLst/>
        </a:prstGeom>
      </xdr:spPr>
    </xdr:pic>
    <xdr:clientData/>
  </xdr:oneCellAnchor>
  <xdr:oneCellAnchor>
    <xdr:from>
      <xdr:col>87</xdr:col>
      <xdr:colOff>9525</xdr:colOff>
      <xdr:row>161</xdr:row>
      <xdr:rowOff>9525</xdr:rowOff>
    </xdr:from>
    <xdr:ext cx="1905000" cy="1905000"/>
    <xdr:pic>
      <xdr:nvPicPr>
        <xdr:cNvPr id="155" name="First Page Clipping" descr="First Page Clipping">
          <a:extLst>
            <a:ext uri="{FF2B5EF4-FFF2-40B4-BE49-F238E27FC236}">
              <a16:creationId xmlns:a16="http://schemas.microsoft.com/office/drawing/2014/main" id="{00000000-0008-0000-0000-00009B000000}"/>
            </a:ext>
          </a:extLst>
        </xdr:cNvPr>
        <xdr:cNvPicPr>
          <a:picLocks noChangeAspect="1"/>
        </xdr:cNvPicPr>
      </xdr:nvPicPr>
      <xdr:blipFill>
        <a:blip xmlns:r="http://schemas.openxmlformats.org/officeDocument/2006/relationships" r:embed="rId145"/>
        <a:stretch>
          <a:fillRect/>
        </a:stretch>
      </xdr:blipFill>
      <xdr:spPr>
        <a:xfrm>
          <a:off x="0" y="0"/>
          <a:ext cx="0" cy="0"/>
        </a:xfrm>
        <a:prstGeom prst="rect">
          <a:avLst/>
        </a:prstGeom>
      </xdr:spPr>
    </xdr:pic>
    <xdr:clientData/>
  </xdr:oneCellAnchor>
  <xdr:oneCellAnchor>
    <xdr:from>
      <xdr:col>87</xdr:col>
      <xdr:colOff>9525</xdr:colOff>
      <xdr:row>162</xdr:row>
      <xdr:rowOff>9525</xdr:rowOff>
    </xdr:from>
    <xdr:ext cx="1905000" cy="1905000"/>
    <xdr:pic>
      <xdr:nvPicPr>
        <xdr:cNvPr id="156" name="First Page Clipping" descr="First Page Clipping">
          <a:extLst>
            <a:ext uri="{FF2B5EF4-FFF2-40B4-BE49-F238E27FC236}">
              <a16:creationId xmlns:a16="http://schemas.microsoft.com/office/drawing/2014/main" id="{00000000-0008-0000-0000-00009C000000}"/>
            </a:ext>
          </a:extLst>
        </xdr:cNvPr>
        <xdr:cNvPicPr>
          <a:picLocks noChangeAspect="1"/>
        </xdr:cNvPicPr>
      </xdr:nvPicPr>
      <xdr:blipFill>
        <a:blip xmlns:r="http://schemas.openxmlformats.org/officeDocument/2006/relationships" r:embed="rId146"/>
        <a:stretch>
          <a:fillRect/>
        </a:stretch>
      </xdr:blipFill>
      <xdr:spPr>
        <a:xfrm>
          <a:off x="0" y="0"/>
          <a:ext cx="0" cy="0"/>
        </a:xfrm>
        <a:prstGeom prst="rect">
          <a:avLst/>
        </a:prstGeom>
      </xdr:spPr>
    </xdr:pic>
    <xdr:clientData/>
  </xdr:oneCellAnchor>
  <xdr:oneCellAnchor>
    <xdr:from>
      <xdr:col>87</xdr:col>
      <xdr:colOff>9525</xdr:colOff>
      <xdr:row>163</xdr:row>
      <xdr:rowOff>9525</xdr:rowOff>
    </xdr:from>
    <xdr:ext cx="1905000" cy="1905000"/>
    <xdr:pic>
      <xdr:nvPicPr>
        <xdr:cNvPr id="157" name="First Page Clipping" descr="First Page Clipping">
          <a:extLst>
            <a:ext uri="{FF2B5EF4-FFF2-40B4-BE49-F238E27FC236}">
              <a16:creationId xmlns:a16="http://schemas.microsoft.com/office/drawing/2014/main" id="{00000000-0008-0000-0000-00009D000000}"/>
            </a:ext>
          </a:extLst>
        </xdr:cNvPr>
        <xdr:cNvPicPr>
          <a:picLocks noChangeAspect="1"/>
        </xdr:cNvPicPr>
      </xdr:nvPicPr>
      <xdr:blipFill>
        <a:blip xmlns:r="http://schemas.openxmlformats.org/officeDocument/2006/relationships" r:embed="rId144"/>
        <a:stretch>
          <a:fillRect/>
        </a:stretch>
      </xdr:blipFill>
      <xdr:spPr>
        <a:xfrm>
          <a:off x="0" y="0"/>
          <a:ext cx="0" cy="0"/>
        </a:xfrm>
        <a:prstGeom prst="rect">
          <a:avLst/>
        </a:prstGeom>
      </xdr:spPr>
    </xdr:pic>
    <xdr:clientData/>
  </xdr:oneCellAnchor>
  <xdr:oneCellAnchor>
    <xdr:from>
      <xdr:col>87</xdr:col>
      <xdr:colOff>9525</xdr:colOff>
      <xdr:row>164</xdr:row>
      <xdr:rowOff>9525</xdr:rowOff>
    </xdr:from>
    <xdr:ext cx="1905000" cy="1905000"/>
    <xdr:pic>
      <xdr:nvPicPr>
        <xdr:cNvPr id="158" name="First Page Clipping" descr="First Page Clipping">
          <a:extLst>
            <a:ext uri="{FF2B5EF4-FFF2-40B4-BE49-F238E27FC236}">
              <a16:creationId xmlns:a16="http://schemas.microsoft.com/office/drawing/2014/main" id="{00000000-0008-0000-0000-00009E000000}"/>
            </a:ext>
          </a:extLst>
        </xdr:cNvPr>
        <xdr:cNvPicPr>
          <a:picLocks noChangeAspect="1"/>
        </xdr:cNvPicPr>
      </xdr:nvPicPr>
      <xdr:blipFill>
        <a:blip xmlns:r="http://schemas.openxmlformats.org/officeDocument/2006/relationships" r:embed="rId147"/>
        <a:stretch>
          <a:fillRect/>
        </a:stretch>
      </xdr:blipFill>
      <xdr:spPr>
        <a:xfrm>
          <a:off x="0" y="0"/>
          <a:ext cx="0" cy="0"/>
        </a:xfrm>
        <a:prstGeom prst="rect">
          <a:avLst/>
        </a:prstGeom>
      </xdr:spPr>
    </xdr:pic>
    <xdr:clientData/>
  </xdr:oneCellAnchor>
  <xdr:oneCellAnchor>
    <xdr:from>
      <xdr:col>87</xdr:col>
      <xdr:colOff>9525</xdr:colOff>
      <xdr:row>165</xdr:row>
      <xdr:rowOff>9525</xdr:rowOff>
    </xdr:from>
    <xdr:ext cx="1905000" cy="1905000"/>
    <xdr:pic>
      <xdr:nvPicPr>
        <xdr:cNvPr id="159" name="First Page Clipping" descr="First Page Clipping">
          <a:extLst>
            <a:ext uri="{FF2B5EF4-FFF2-40B4-BE49-F238E27FC236}">
              <a16:creationId xmlns:a16="http://schemas.microsoft.com/office/drawing/2014/main" id="{00000000-0008-0000-0000-00009F000000}"/>
            </a:ext>
          </a:extLst>
        </xdr:cNvPr>
        <xdr:cNvPicPr>
          <a:picLocks noChangeAspect="1"/>
        </xdr:cNvPicPr>
      </xdr:nvPicPr>
      <xdr:blipFill>
        <a:blip xmlns:r="http://schemas.openxmlformats.org/officeDocument/2006/relationships" r:embed="rId148"/>
        <a:stretch>
          <a:fillRect/>
        </a:stretch>
      </xdr:blipFill>
      <xdr:spPr>
        <a:xfrm>
          <a:off x="0" y="0"/>
          <a:ext cx="0" cy="0"/>
        </a:xfrm>
        <a:prstGeom prst="rect">
          <a:avLst/>
        </a:prstGeom>
      </xdr:spPr>
    </xdr:pic>
    <xdr:clientData/>
  </xdr:oneCellAnchor>
  <xdr:oneCellAnchor>
    <xdr:from>
      <xdr:col>87</xdr:col>
      <xdr:colOff>9525</xdr:colOff>
      <xdr:row>166</xdr:row>
      <xdr:rowOff>9525</xdr:rowOff>
    </xdr:from>
    <xdr:ext cx="1905000" cy="1905000"/>
    <xdr:pic>
      <xdr:nvPicPr>
        <xdr:cNvPr id="160" name="First Page Clipping" descr="First Page Clipping">
          <a:extLst>
            <a:ext uri="{FF2B5EF4-FFF2-40B4-BE49-F238E27FC236}">
              <a16:creationId xmlns:a16="http://schemas.microsoft.com/office/drawing/2014/main" id="{00000000-0008-0000-0000-0000A0000000}"/>
            </a:ext>
          </a:extLst>
        </xdr:cNvPr>
        <xdr:cNvPicPr>
          <a:picLocks noChangeAspect="1"/>
        </xdr:cNvPicPr>
      </xdr:nvPicPr>
      <xdr:blipFill>
        <a:blip xmlns:r="http://schemas.openxmlformats.org/officeDocument/2006/relationships" r:embed="rId148"/>
        <a:stretch>
          <a:fillRect/>
        </a:stretch>
      </xdr:blipFill>
      <xdr:spPr>
        <a:xfrm>
          <a:off x="0" y="0"/>
          <a:ext cx="0" cy="0"/>
        </a:xfrm>
        <a:prstGeom prst="rect">
          <a:avLst/>
        </a:prstGeom>
      </xdr:spPr>
    </xdr:pic>
    <xdr:clientData/>
  </xdr:oneCellAnchor>
  <xdr:oneCellAnchor>
    <xdr:from>
      <xdr:col>87</xdr:col>
      <xdr:colOff>9525</xdr:colOff>
      <xdr:row>167</xdr:row>
      <xdr:rowOff>9525</xdr:rowOff>
    </xdr:from>
    <xdr:ext cx="1905000" cy="1905000"/>
    <xdr:pic>
      <xdr:nvPicPr>
        <xdr:cNvPr id="161" name="First Page Clipping" descr="First Page Clipping">
          <a:extLst>
            <a:ext uri="{FF2B5EF4-FFF2-40B4-BE49-F238E27FC236}">
              <a16:creationId xmlns:a16="http://schemas.microsoft.com/office/drawing/2014/main" id="{00000000-0008-0000-0000-0000A1000000}"/>
            </a:ext>
          </a:extLst>
        </xdr:cNvPr>
        <xdr:cNvPicPr>
          <a:picLocks noChangeAspect="1"/>
        </xdr:cNvPicPr>
      </xdr:nvPicPr>
      <xdr:blipFill>
        <a:blip xmlns:r="http://schemas.openxmlformats.org/officeDocument/2006/relationships" r:embed="rId149"/>
        <a:stretch>
          <a:fillRect/>
        </a:stretch>
      </xdr:blipFill>
      <xdr:spPr>
        <a:xfrm>
          <a:off x="0" y="0"/>
          <a:ext cx="0" cy="0"/>
        </a:xfrm>
        <a:prstGeom prst="rect">
          <a:avLst/>
        </a:prstGeom>
      </xdr:spPr>
    </xdr:pic>
    <xdr:clientData/>
  </xdr:oneCellAnchor>
  <xdr:oneCellAnchor>
    <xdr:from>
      <xdr:col>87</xdr:col>
      <xdr:colOff>9525</xdr:colOff>
      <xdr:row>169</xdr:row>
      <xdr:rowOff>9525</xdr:rowOff>
    </xdr:from>
    <xdr:ext cx="1905000" cy="1905000"/>
    <xdr:pic>
      <xdr:nvPicPr>
        <xdr:cNvPr id="162" name="First Page Clipping" descr="First Page Clipping">
          <a:extLst>
            <a:ext uri="{FF2B5EF4-FFF2-40B4-BE49-F238E27FC236}">
              <a16:creationId xmlns:a16="http://schemas.microsoft.com/office/drawing/2014/main" id="{00000000-0008-0000-0000-0000A2000000}"/>
            </a:ext>
          </a:extLst>
        </xdr:cNvPr>
        <xdr:cNvPicPr>
          <a:picLocks noChangeAspect="1"/>
        </xdr:cNvPicPr>
      </xdr:nvPicPr>
      <xdr:blipFill>
        <a:blip xmlns:r="http://schemas.openxmlformats.org/officeDocument/2006/relationships" r:embed="rId150"/>
        <a:stretch>
          <a:fillRect/>
        </a:stretch>
      </xdr:blipFill>
      <xdr:spPr>
        <a:xfrm>
          <a:off x="0" y="0"/>
          <a:ext cx="0" cy="0"/>
        </a:xfrm>
        <a:prstGeom prst="rect">
          <a:avLst/>
        </a:prstGeom>
      </xdr:spPr>
    </xdr:pic>
    <xdr:clientData/>
  </xdr:oneCellAnchor>
  <xdr:oneCellAnchor>
    <xdr:from>
      <xdr:col>87</xdr:col>
      <xdr:colOff>9525</xdr:colOff>
      <xdr:row>170</xdr:row>
      <xdr:rowOff>9525</xdr:rowOff>
    </xdr:from>
    <xdr:ext cx="1905000" cy="1905000"/>
    <xdr:pic>
      <xdr:nvPicPr>
        <xdr:cNvPr id="163" name="First Page Clipping" descr="First Page Clipping">
          <a:extLst>
            <a:ext uri="{FF2B5EF4-FFF2-40B4-BE49-F238E27FC236}">
              <a16:creationId xmlns:a16="http://schemas.microsoft.com/office/drawing/2014/main" id="{00000000-0008-0000-0000-0000A3000000}"/>
            </a:ext>
          </a:extLst>
        </xdr:cNvPr>
        <xdr:cNvPicPr>
          <a:picLocks noChangeAspect="1"/>
        </xdr:cNvPicPr>
      </xdr:nvPicPr>
      <xdr:blipFill>
        <a:blip xmlns:r="http://schemas.openxmlformats.org/officeDocument/2006/relationships" r:embed="rId151"/>
        <a:stretch>
          <a:fillRect/>
        </a:stretch>
      </xdr:blipFill>
      <xdr:spPr>
        <a:xfrm>
          <a:off x="0" y="0"/>
          <a:ext cx="0" cy="0"/>
        </a:xfrm>
        <a:prstGeom prst="rect">
          <a:avLst/>
        </a:prstGeom>
      </xdr:spPr>
    </xdr:pic>
    <xdr:clientData/>
  </xdr:oneCellAnchor>
  <xdr:oneCellAnchor>
    <xdr:from>
      <xdr:col>87</xdr:col>
      <xdr:colOff>9525</xdr:colOff>
      <xdr:row>171</xdr:row>
      <xdr:rowOff>9525</xdr:rowOff>
    </xdr:from>
    <xdr:ext cx="1905000" cy="1905000"/>
    <xdr:pic>
      <xdr:nvPicPr>
        <xdr:cNvPr id="164" name="First Page Clipping" descr="First Page Clipping">
          <a:extLst>
            <a:ext uri="{FF2B5EF4-FFF2-40B4-BE49-F238E27FC236}">
              <a16:creationId xmlns:a16="http://schemas.microsoft.com/office/drawing/2014/main" id="{00000000-0008-0000-0000-0000A4000000}"/>
            </a:ext>
          </a:extLst>
        </xdr:cNvPr>
        <xdr:cNvPicPr>
          <a:picLocks noChangeAspect="1"/>
        </xdr:cNvPicPr>
      </xdr:nvPicPr>
      <xdr:blipFill>
        <a:blip xmlns:r="http://schemas.openxmlformats.org/officeDocument/2006/relationships" r:embed="rId152"/>
        <a:stretch>
          <a:fillRect/>
        </a:stretch>
      </xdr:blipFill>
      <xdr:spPr>
        <a:xfrm>
          <a:off x="0" y="0"/>
          <a:ext cx="0" cy="0"/>
        </a:xfrm>
        <a:prstGeom prst="rect">
          <a:avLst/>
        </a:prstGeom>
      </xdr:spPr>
    </xdr:pic>
    <xdr:clientData/>
  </xdr:oneCellAnchor>
  <xdr:oneCellAnchor>
    <xdr:from>
      <xdr:col>87</xdr:col>
      <xdr:colOff>9525</xdr:colOff>
      <xdr:row>172</xdr:row>
      <xdr:rowOff>9525</xdr:rowOff>
    </xdr:from>
    <xdr:ext cx="1905000" cy="1905000"/>
    <xdr:pic>
      <xdr:nvPicPr>
        <xdr:cNvPr id="165" name="First Page Clipping" descr="First Page Clipping">
          <a:extLst>
            <a:ext uri="{FF2B5EF4-FFF2-40B4-BE49-F238E27FC236}">
              <a16:creationId xmlns:a16="http://schemas.microsoft.com/office/drawing/2014/main" id="{00000000-0008-0000-0000-0000A5000000}"/>
            </a:ext>
          </a:extLst>
        </xdr:cNvPr>
        <xdr:cNvPicPr>
          <a:picLocks noChangeAspect="1"/>
        </xdr:cNvPicPr>
      </xdr:nvPicPr>
      <xdr:blipFill>
        <a:blip xmlns:r="http://schemas.openxmlformats.org/officeDocument/2006/relationships" r:embed="rId153"/>
        <a:stretch>
          <a:fillRect/>
        </a:stretch>
      </xdr:blipFill>
      <xdr:spPr>
        <a:xfrm>
          <a:off x="0" y="0"/>
          <a:ext cx="0" cy="0"/>
        </a:xfrm>
        <a:prstGeom prst="rect">
          <a:avLst/>
        </a:prstGeom>
      </xdr:spPr>
    </xdr:pic>
    <xdr:clientData/>
  </xdr:oneCellAnchor>
  <xdr:oneCellAnchor>
    <xdr:from>
      <xdr:col>87</xdr:col>
      <xdr:colOff>9525</xdr:colOff>
      <xdr:row>173</xdr:row>
      <xdr:rowOff>9525</xdr:rowOff>
    </xdr:from>
    <xdr:ext cx="1905000" cy="1905000"/>
    <xdr:pic>
      <xdr:nvPicPr>
        <xdr:cNvPr id="166" name="First Page Clipping" descr="First Page Clipping">
          <a:extLst>
            <a:ext uri="{FF2B5EF4-FFF2-40B4-BE49-F238E27FC236}">
              <a16:creationId xmlns:a16="http://schemas.microsoft.com/office/drawing/2014/main" id="{00000000-0008-0000-0000-0000A6000000}"/>
            </a:ext>
          </a:extLst>
        </xdr:cNvPr>
        <xdr:cNvPicPr>
          <a:picLocks noChangeAspect="1"/>
        </xdr:cNvPicPr>
      </xdr:nvPicPr>
      <xdr:blipFill>
        <a:blip xmlns:r="http://schemas.openxmlformats.org/officeDocument/2006/relationships" r:embed="rId154"/>
        <a:stretch>
          <a:fillRect/>
        </a:stretch>
      </xdr:blipFill>
      <xdr:spPr>
        <a:xfrm>
          <a:off x="0" y="0"/>
          <a:ext cx="0" cy="0"/>
        </a:xfrm>
        <a:prstGeom prst="rect">
          <a:avLst/>
        </a:prstGeom>
      </xdr:spPr>
    </xdr:pic>
    <xdr:clientData/>
  </xdr:oneCellAnchor>
  <xdr:oneCellAnchor>
    <xdr:from>
      <xdr:col>87</xdr:col>
      <xdr:colOff>9525</xdr:colOff>
      <xdr:row>174</xdr:row>
      <xdr:rowOff>9525</xdr:rowOff>
    </xdr:from>
    <xdr:ext cx="1905000" cy="1905000"/>
    <xdr:pic>
      <xdr:nvPicPr>
        <xdr:cNvPr id="167" name="First Page Clipping" descr="First Page Clipping">
          <a:extLst>
            <a:ext uri="{FF2B5EF4-FFF2-40B4-BE49-F238E27FC236}">
              <a16:creationId xmlns:a16="http://schemas.microsoft.com/office/drawing/2014/main" id="{00000000-0008-0000-0000-0000A7000000}"/>
            </a:ext>
          </a:extLst>
        </xdr:cNvPr>
        <xdr:cNvPicPr>
          <a:picLocks noChangeAspect="1"/>
        </xdr:cNvPicPr>
      </xdr:nvPicPr>
      <xdr:blipFill>
        <a:blip xmlns:r="http://schemas.openxmlformats.org/officeDocument/2006/relationships" r:embed="rId155"/>
        <a:stretch>
          <a:fillRect/>
        </a:stretch>
      </xdr:blipFill>
      <xdr:spPr>
        <a:xfrm>
          <a:off x="0" y="0"/>
          <a:ext cx="0" cy="0"/>
        </a:xfrm>
        <a:prstGeom prst="rect">
          <a:avLst/>
        </a:prstGeom>
      </xdr:spPr>
    </xdr:pic>
    <xdr:clientData/>
  </xdr:oneCellAnchor>
  <xdr:oneCellAnchor>
    <xdr:from>
      <xdr:col>87</xdr:col>
      <xdr:colOff>9525</xdr:colOff>
      <xdr:row>175</xdr:row>
      <xdr:rowOff>9525</xdr:rowOff>
    </xdr:from>
    <xdr:ext cx="1905000" cy="1905000"/>
    <xdr:pic>
      <xdr:nvPicPr>
        <xdr:cNvPr id="168" name="First Page Clipping" descr="First Page Clipping">
          <a:extLst>
            <a:ext uri="{FF2B5EF4-FFF2-40B4-BE49-F238E27FC236}">
              <a16:creationId xmlns:a16="http://schemas.microsoft.com/office/drawing/2014/main" id="{00000000-0008-0000-0000-0000A8000000}"/>
            </a:ext>
          </a:extLst>
        </xdr:cNvPr>
        <xdr:cNvPicPr>
          <a:picLocks noChangeAspect="1"/>
        </xdr:cNvPicPr>
      </xdr:nvPicPr>
      <xdr:blipFill>
        <a:blip xmlns:r="http://schemas.openxmlformats.org/officeDocument/2006/relationships" r:embed="rId156"/>
        <a:stretch>
          <a:fillRect/>
        </a:stretch>
      </xdr:blipFill>
      <xdr:spPr>
        <a:xfrm>
          <a:off x="0" y="0"/>
          <a:ext cx="0" cy="0"/>
        </a:xfrm>
        <a:prstGeom prst="rect">
          <a:avLst/>
        </a:prstGeom>
      </xdr:spPr>
    </xdr:pic>
    <xdr:clientData/>
  </xdr:oneCellAnchor>
  <xdr:oneCellAnchor>
    <xdr:from>
      <xdr:col>87</xdr:col>
      <xdr:colOff>9525</xdr:colOff>
      <xdr:row>176</xdr:row>
      <xdr:rowOff>9525</xdr:rowOff>
    </xdr:from>
    <xdr:ext cx="1905000" cy="1905000"/>
    <xdr:pic>
      <xdr:nvPicPr>
        <xdr:cNvPr id="169" name="First Page Clipping" descr="First Page Clipping">
          <a:extLst>
            <a:ext uri="{FF2B5EF4-FFF2-40B4-BE49-F238E27FC236}">
              <a16:creationId xmlns:a16="http://schemas.microsoft.com/office/drawing/2014/main" id="{00000000-0008-0000-0000-0000A9000000}"/>
            </a:ext>
          </a:extLst>
        </xdr:cNvPr>
        <xdr:cNvPicPr>
          <a:picLocks noChangeAspect="1"/>
        </xdr:cNvPicPr>
      </xdr:nvPicPr>
      <xdr:blipFill>
        <a:blip xmlns:r="http://schemas.openxmlformats.org/officeDocument/2006/relationships" r:embed="rId157"/>
        <a:stretch>
          <a:fillRect/>
        </a:stretch>
      </xdr:blipFill>
      <xdr:spPr>
        <a:xfrm>
          <a:off x="0" y="0"/>
          <a:ext cx="0" cy="0"/>
        </a:xfrm>
        <a:prstGeom prst="rect">
          <a:avLst/>
        </a:prstGeom>
      </xdr:spPr>
    </xdr:pic>
    <xdr:clientData/>
  </xdr:oneCellAnchor>
  <xdr:oneCellAnchor>
    <xdr:from>
      <xdr:col>87</xdr:col>
      <xdr:colOff>9525</xdr:colOff>
      <xdr:row>177</xdr:row>
      <xdr:rowOff>9525</xdr:rowOff>
    </xdr:from>
    <xdr:ext cx="1905000" cy="1905000"/>
    <xdr:pic>
      <xdr:nvPicPr>
        <xdr:cNvPr id="170" name="First Page Clipping" descr="First Page Clipping">
          <a:extLst>
            <a:ext uri="{FF2B5EF4-FFF2-40B4-BE49-F238E27FC236}">
              <a16:creationId xmlns:a16="http://schemas.microsoft.com/office/drawing/2014/main" id="{00000000-0008-0000-0000-0000AA000000}"/>
            </a:ext>
          </a:extLst>
        </xdr:cNvPr>
        <xdr:cNvPicPr>
          <a:picLocks noChangeAspect="1"/>
        </xdr:cNvPicPr>
      </xdr:nvPicPr>
      <xdr:blipFill>
        <a:blip xmlns:r="http://schemas.openxmlformats.org/officeDocument/2006/relationships" r:embed="rId158"/>
        <a:stretch>
          <a:fillRect/>
        </a:stretch>
      </xdr:blipFill>
      <xdr:spPr>
        <a:xfrm>
          <a:off x="0" y="0"/>
          <a:ext cx="0" cy="0"/>
        </a:xfrm>
        <a:prstGeom prst="rect">
          <a:avLst/>
        </a:prstGeom>
      </xdr:spPr>
    </xdr:pic>
    <xdr:clientData/>
  </xdr:oneCellAnchor>
  <xdr:oneCellAnchor>
    <xdr:from>
      <xdr:col>87</xdr:col>
      <xdr:colOff>9525</xdr:colOff>
      <xdr:row>178</xdr:row>
      <xdr:rowOff>9525</xdr:rowOff>
    </xdr:from>
    <xdr:ext cx="1905000" cy="1905000"/>
    <xdr:pic>
      <xdr:nvPicPr>
        <xdr:cNvPr id="171" name="First Page Clipping" descr="First Page Clipping">
          <a:extLst>
            <a:ext uri="{FF2B5EF4-FFF2-40B4-BE49-F238E27FC236}">
              <a16:creationId xmlns:a16="http://schemas.microsoft.com/office/drawing/2014/main" id="{00000000-0008-0000-0000-0000AB000000}"/>
            </a:ext>
          </a:extLst>
        </xdr:cNvPr>
        <xdr:cNvPicPr>
          <a:picLocks noChangeAspect="1"/>
        </xdr:cNvPicPr>
      </xdr:nvPicPr>
      <xdr:blipFill>
        <a:blip xmlns:r="http://schemas.openxmlformats.org/officeDocument/2006/relationships" r:embed="rId159"/>
        <a:stretch>
          <a:fillRect/>
        </a:stretch>
      </xdr:blipFill>
      <xdr:spPr>
        <a:xfrm>
          <a:off x="0" y="0"/>
          <a:ext cx="0" cy="0"/>
        </a:xfrm>
        <a:prstGeom prst="rect">
          <a:avLst/>
        </a:prstGeom>
      </xdr:spPr>
    </xdr:pic>
    <xdr:clientData/>
  </xdr:oneCellAnchor>
  <xdr:oneCellAnchor>
    <xdr:from>
      <xdr:col>87</xdr:col>
      <xdr:colOff>9525</xdr:colOff>
      <xdr:row>179</xdr:row>
      <xdr:rowOff>9525</xdr:rowOff>
    </xdr:from>
    <xdr:ext cx="1905000" cy="1905000"/>
    <xdr:pic>
      <xdr:nvPicPr>
        <xdr:cNvPr id="172" name="First Page Clipping" descr="First Page Clipping">
          <a:extLst>
            <a:ext uri="{FF2B5EF4-FFF2-40B4-BE49-F238E27FC236}">
              <a16:creationId xmlns:a16="http://schemas.microsoft.com/office/drawing/2014/main" id="{00000000-0008-0000-0000-0000AC000000}"/>
            </a:ext>
          </a:extLst>
        </xdr:cNvPr>
        <xdr:cNvPicPr>
          <a:picLocks noChangeAspect="1"/>
        </xdr:cNvPicPr>
      </xdr:nvPicPr>
      <xdr:blipFill>
        <a:blip xmlns:r="http://schemas.openxmlformats.org/officeDocument/2006/relationships" r:embed="rId160"/>
        <a:stretch>
          <a:fillRect/>
        </a:stretch>
      </xdr:blipFill>
      <xdr:spPr>
        <a:xfrm>
          <a:off x="0" y="0"/>
          <a:ext cx="0" cy="0"/>
        </a:xfrm>
        <a:prstGeom prst="rect">
          <a:avLst/>
        </a:prstGeom>
      </xdr:spPr>
    </xdr:pic>
    <xdr:clientData/>
  </xdr:oneCellAnchor>
  <xdr:oneCellAnchor>
    <xdr:from>
      <xdr:col>87</xdr:col>
      <xdr:colOff>9525</xdr:colOff>
      <xdr:row>180</xdr:row>
      <xdr:rowOff>9525</xdr:rowOff>
    </xdr:from>
    <xdr:ext cx="1905000" cy="1905000"/>
    <xdr:pic>
      <xdr:nvPicPr>
        <xdr:cNvPr id="173" name="First Page Clipping" descr="First Page Clipping">
          <a:extLst>
            <a:ext uri="{FF2B5EF4-FFF2-40B4-BE49-F238E27FC236}">
              <a16:creationId xmlns:a16="http://schemas.microsoft.com/office/drawing/2014/main" id="{00000000-0008-0000-0000-0000AD000000}"/>
            </a:ext>
          </a:extLst>
        </xdr:cNvPr>
        <xdr:cNvPicPr>
          <a:picLocks noChangeAspect="1"/>
        </xdr:cNvPicPr>
      </xdr:nvPicPr>
      <xdr:blipFill>
        <a:blip xmlns:r="http://schemas.openxmlformats.org/officeDocument/2006/relationships" r:embed="rId161"/>
        <a:stretch>
          <a:fillRect/>
        </a:stretch>
      </xdr:blipFill>
      <xdr:spPr>
        <a:xfrm>
          <a:off x="0" y="0"/>
          <a:ext cx="0" cy="0"/>
        </a:xfrm>
        <a:prstGeom prst="rect">
          <a:avLst/>
        </a:prstGeom>
      </xdr:spPr>
    </xdr:pic>
    <xdr:clientData/>
  </xdr:oneCellAnchor>
  <xdr:oneCellAnchor>
    <xdr:from>
      <xdr:col>87</xdr:col>
      <xdr:colOff>9525</xdr:colOff>
      <xdr:row>181</xdr:row>
      <xdr:rowOff>9525</xdr:rowOff>
    </xdr:from>
    <xdr:ext cx="1905000" cy="1905000"/>
    <xdr:pic>
      <xdr:nvPicPr>
        <xdr:cNvPr id="174" name="First Page Clipping" descr="First Page Clipping">
          <a:extLst>
            <a:ext uri="{FF2B5EF4-FFF2-40B4-BE49-F238E27FC236}">
              <a16:creationId xmlns:a16="http://schemas.microsoft.com/office/drawing/2014/main" id="{00000000-0008-0000-0000-0000AE000000}"/>
            </a:ext>
          </a:extLst>
        </xdr:cNvPr>
        <xdr:cNvPicPr>
          <a:picLocks noChangeAspect="1"/>
        </xdr:cNvPicPr>
      </xdr:nvPicPr>
      <xdr:blipFill>
        <a:blip xmlns:r="http://schemas.openxmlformats.org/officeDocument/2006/relationships" r:embed="rId162"/>
        <a:stretch>
          <a:fillRect/>
        </a:stretch>
      </xdr:blipFill>
      <xdr:spPr>
        <a:xfrm>
          <a:off x="0" y="0"/>
          <a:ext cx="0" cy="0"/>
        </a:xfrm>
        <a:prstGeom prst="rect">
          <a:avLst/>
        </a:prstGeom>
      </xdr:spPr>
    </xdr:pic>
    <xdr:clientData/>
  </xdr:oneCellAnchor>
  <xdr:oneCellAnchor>
    <xdr:from>
      <xdr:col>87</xdr:col>
      <xdr:colOff>9525</xdr:colOff>
      <xdr:row>182</xdr:row>
      <xdr:rowOff>9525</xdr:rowOff>
    </xdr:from>
    <xdr:ext cx="1905000" cy="1905000"/>
    <xdr:pic>
      <xdr:nvPicPr>
        <xdr:cNvPr id="175" name="First Page Clipping" descr="First Page Clipping">
          <a:extLst>
            <a:ext uri="{FF2B5EF4-FFF2-40B4-BE49-F238E27FC236}">
              <a16:creationId xmlns:a16="http://schemas.microsoft.com/office/drawing/2014/main" id="{00000000-0008-0000-0000-0000AF000000}"/>
            </a:ext>
          </a:extLst>
        </xdr:cNvPr>
        <xdr:cNvPicPr>
          <a:picLocks noChangeAspect="1"/>
        </xdr:cNvPicPr>
      </xdr:nvPicPr>
      <xdr:blipFill>
        <a:blip xmlns:r="http://schemas.openxmlformats.org/officeDocument/2006/relationships" r:embed="rId163"/>
        <a:stretch>
          <a:fillRect/>
        </a:stretch>
      </xdr:blipFill>
      <xdr:spPr>
        <a:xfrm>
          <a:off x="0" y="0"/>
          <a:ext cx="0" cy="0"/>
        </a:xfrm>
        <a:prstGeom prst="rect">
          <a:avLst/>
        </a:prstGeom>
      </xdr:spPr>
    </xdr:pic>
    <xdr:clientData/>
  </xdr:oneCellAnchor>
  <xdr:oneCellAnchor>
    <xdr:from>
      <xdr:col>87</xdr:col>
      <xdr:colOff>9525</xdr:colOff>
      <xdr:row>184</xdr:row>
      <xdr:rowOff>9525</xdr:rowOff>
    </xdr:from>
    <xdr:ext cx="1905000" cy="1905000"/>
    <xdr:pic>
      <xdr:nvPicPr>
        <xdr:cNvPr id="176" name="First Page Clipping" descr="First Page Clipping">
          <a:extLst>
            <a:ext uri="{FF2B5EF4-FFF2-40B4-BE49-F238E27FC236}">
              <a16:creationId xmlns:a16="http://schemas.microsoft.com/office/drawing/2014/main" id="{00000000-0008-0000-0000-0000B0000000}"/>
            </a:ext>
          </a:extLst>
        </xdr:cNvPr>
        <xdr:cNvPicPr>
          <a:picLocks noChangeAspect="1"/>
        </xdr:cNvPicPr>
      </xdr:nvPicPr>
      <xdr:blipFill>
        <a:blip xmlns:r="http://schemas.openxmlformats.org/officeDocument/2006/relationships" r:embed="rId164"/>
        <a:stretch>
          <a:fillRect/>
        </a:stretch>
      </xdr:blipFill>
      <xdr:spPr>
        <a:xfrm>
          <a:off x="0" y="0"/>
          <a:ext cx="0" cy="0"/>
        </a:xfrm>
        <a:prstGeom prst="rect">
          <a:avLst/>
        </a:prstGeom>
      </xdr:spPr>
    </xdr:pic>
    <xdr:clientData/>
  </xdr:oneCellAnchor>
  <xdr:oneCellAnchor>
    <xdr:from>
      <xdr:col>87</xdr:col>
      <xdr:colOff>9525</xdr:colOff>
      <xdr:row>185</xdr:row>
      <xdr:rowOff>9525</xdr:rowOff>
    </xdr:from>
    <xdr:ext cx="1905000" cy="1905000"/>
    <xdr:pic>
      <xdr:nvPicPr>
        <xdr:cNvPr id="177" name="First Page Clipping" descr="First Page Clipping">
          <a:extLst>
            <a:ext uri="{FF2B5EF4-FFF2-40B4-BE49-F238E27FC236}">
              <a16:creationId xmlns:a16="http://schemas.microsoft.com/office/drawing/2014/main" id="{00000000-0008-0000-0000-0000B1000000}"/>
            </a:ext>
          </a:extLst>
        </xdr:cNvPr>
        <xdr:cNvPicPr>
          <a:picLocks noChangeAspect="1"/>
        </xdr:cNvPicPr>
      </xdr:nvPicPr>
      <xdr:blipFill>
        <a:blip xmlns:r="http://schemas.openxmlformats.org/officeDocument/2006/relationships" r:embed="rId165"/>
        <a:stretch>
          <a:fillRect/>
        </a:stretch>
      </xdr:blipFill>
      <xdr:spPr>
        <a:xfrm>
          <a:off x="0" y="0"/>
          <a:ext cx="0" cy="0"/>
        </a:xfrm>
        <a:prstGeom prst="rect">
          <a:avLst/>
        </a:prstGeom>
      </xdr:spPr>
    </xdr:pic>
    <xdr:clientData/>
  </xdr:oneCellAnchor>
  <xdr:oneCellAnchor>
    <xdr:from>
      <xdr:col>87</xdr:col>
      <xdr:colOff>9525</xdr:colOff>
      <xdr:row>186</xdr:row>
      <xdr:rowOff>9525</xdr:rowOff>
    </xdr:from>
    <xdr:ext cx="1905000" cy="1905000"/>
    <xdr:pic>
      <xdr:nvPicPr>
        <xdr:cNvPr id="178" name="First Page Clipping" descr="First Page Clipping">
          <a:extLst>
            <a:ext uri="{FF2B5EF4-FFF2-40B4-BE49-F238E27FC236}">
              <a16:creationId xmlns:a16="http://schemas.microsoft.com/office/drawing/2014/main" id="{00000000-0008-0000-0000-0000B2000000}"/>
            </a:ext>
          </a:extLst>
        </xdr:cNvPr>
        <xdr:cNvPicPr>
          <a:picLocks noChangeAspect="1"/>
        </xdr:cNvPicPr>
      </xdr:nvPicPr>
      <xdr:blipFill>
        <a:blip xmlns:r="http://schemas.openxmlformats.org/officeDocument/2006/relationships" r:embed="rId166"/>
        <a:stretch>
          <a:fillRect/>
        </a:stretch>
      </xdr:blipFill>
      <xdr:spPr>
        <a:xfrm>
          <a:off x="0" y="0"/>
          <a:ext cx="0" cy="0"/>
        </a:xfrm>
        <a:prstGeom prst="rect">
          <a:avLst/>
        </a:prstGeom>
      </xdr:spPr>
    </xdr:pic>
    <xdr:clientData/>
  </xdr:oneCellAnchor>
  <xdr:oneCellAnchor>
    <xdr:from>
      <xdr:col>87</xdr:col>
      <xdr:colOff>9525</xdr:colOff>
      <xdr:row>187</xdr:row>
      <xdr:rowOff>9525</xdr:rowOff>
    </xdr:from>
    <xdr:ext cx="1905000" cy="1905000"/>
    <xdr:pic>
      <xdr:nvPicPr>
        <xdr:cNvPr id="179" name="First Page Clipping" descr="First Page Clipping">
          <a:extLst>
            <a:ext uri="{FF2B5EF4-FFF2-40B4-BE49-F238E27FC236}">
              <a16:creationId xmlns:a16="http://schemas.microsoft.com/office/drawing/2014/main" id="{00000000-0008-0000-0000-0000B3000000}"/>
            </a:ext>
          </a:extLst>
        </xdr:cNvPr>
        <xdr:cNvPicPr>
          <a:picLocks noChangeAspect="1"/>
        </xdr:cNvPicPr>
      </xdr:nvPicPr>
      <xdr:blipFill>
        <a:blip xmlns:r="http://schemas.openxmlformats.org/officeDocument/2006/relationships" r:embed="rId167"/>
        <a:stretch>
          <a:fillRect/>
        </a:stretch>
      </xdr:blipFill>
      <xdr:spPr>
        <a:xfrm>
          <a:off x="0" y="0"/>
          <a:ext cx="0" cy="0"/>
        </a:xfrm>
        <a:prstGeom prst="rect">
          <a:avLst/>
        </a:prstGeom>
      </xdr:spPr>
    </xdr:pic>
    <xdr:clientData/>
  </xdr:oneCellAnchor>
  <xdr:oneCellAnchor>
    <xdr:from>
      <xdr:col>87</xdr:col>
      <xdr:colOff>9525</xdr:colOff>
      <xdr:row>188</xdr:row>
      <xdr:rowOff>9525</xdr:rowOff>
    </xdr:from>
    <xdr:ext cx="1905000" cy="1905000"/>
    <xdr:pic>
      <xdr:nvPicPr>
        <xdr:cNvPr id="180" name="First Page Clipping" descr="First Page Clipping">
          <a:extLst>
            <a:ext uri="{FF2B5EF4-FFF2-40B4-BE49-F238E27FC236}">
              <a16:creationId xmlns:a16="http://schemas.microsoft.com/office/drawing/2014/main" id="{00000000-0008-0000-0000-0000B4000000}"/>
            </a:ext>
          </a:extLst>
        </xdr:cNvPr>
        <xdr:cNvPicPr>
          <a:picLocks noChangeAspect="1"/>
        </xdr:cNvPicPr>
      </xdr:nvPicPr>
      <xdr:blipFill>
        <a:blip xmlns:r="http://schemas.openxmlformats.org/officeDocument/2006/relationships" r:embed="rId168"/>
        <a:stretch>
          <a:fillRect/>
        </a:stretch>
      </xdr:blipFill>
      <xdr:spPr>
        <a:xfrm>
          <a:off x="0" y="0"/>
          <a:ext cx="0" cy="0"/>
        </a:xfrm>
        <a:prstGeom prst="rect">
          <a:avLst/>
        </a:prstGeom>
      </xdr:spPr>
    </xdr:pic>
    <xdr:clientData/>
  </xdr:oneCellAnchor>
  <xdr:oneCellAnchor>
    <xdr:from>
      <xdr:col>87</xdr:col>
      <xdr:colOff>9525</xdr:colOff>
      <xdr:row>189</xdr:row>
      <xdr:rowOff>9525</xdr:rowOff>
    </xdr:from>
    <xdr:ext cx="1905000" cy="1905000"/>
    <xdr:pic>
      <xdr:nvPicPr>
        <xdr:cNvPr id="181" name="First Page Clipping" descr="First Page Clipping">
          <a:extLst>
            <a:ext uri="{FF2B5EF4-FFF2-40B4-BE49-F238E27FC236}">
              <a16:creationId xmlns:a16="http://schemas.microsoft.com/office/drawing/2014/main" id="{00000000-0008-0000-0000-0000B5000000}"/>
            </a:ext>
          </a:extLst>
        </xdr:cNvPr>
        <xdr:cNvPicPr>
          <a:picLocks noChangeAspect="1"/>
        </xdr:cNvPicPr>
      </xdr:nvPicPr>
      <xdr:blipFill>
        <a:blip xmlns:r="http://schemas.openxmlformats.org/officeDocument/2006/relationships" r:embed="rId169"/>
        <a:stretch>
          <a:fillRect/>
        </a:stretch>
      </xdr:blipFill>
      <xdr:spPr>
        <a:xfrm>
          <a:off x="0" y="0"/>
          <a:ext cx="0" cy="0"/>
        </a:xfrm>
        <a:prstGeom prst="rect">
          <a:avLst/>
        </a:prstGeom>
      </xdr:spPr>
    </xdr:pic>
    <xdr:clientData/>
  </xdr:oneCellAnchor>
  <xdr:oneCellAnchor>
    <xdr:from>
      <xdr:col>87</xdr:col>
      <xdr:colOff>9525</xdr:colOff>
      <xdr:row>190</xdr:row>
      <xdr:rowOff>9525</xdr:rowOff>
    </xdr:from>
    <xdr:ext cx="1905000" cy="1905000"/>
    <xdr:pic>
      <xdr:nvPicPr>
        <xdr:cNvPr id="182" name="First Page Clipping" descr="First Page Clipping">
          <a:extLst>
            <a:ext uri="{FF2B5EF4-FFF2-40B4-BE49-F238E27FC236}">
              <a16:creationId xmlns:a16="http://schemas.microsoft.com/office/drawing/2014/main" id="{00000000-0008-0000-0000-0000B6000000}"/>
            </a:ext>
          </a:extLst>
        </xdr:cNvPr>
        <xdr:cNvPicPr>
          <a:picLocks noChangeAspect="1"/>
        </xdr:cNvPicPr>
      </xdr:nvPicPr>
      <xdr:blipFill>
        <a:blip xmlns:r="http://schemas.openxmlformats.org/officeDocument/2006/relationships" r:embed="rId170"/>
        <a:stretch>
          <a:fillRect/>
        </a:stretch>
      </xdr:blipFill>
      <xdr:spPr>
        <a:xfrm>
          <a:off x="0" y="0"/>
          <a:ext cx="0" cy="0"/>
        </a:xfrm>
        <a:prstGeom prst="rect">
          <a:avLst/>
        </a:prstGeom>
      </xdr:spPr>
    </xdr:pic>
    <xdr:clientData/>
  </xdr:oneCellAnchor>
  <xdr:oneCellAnchor>
    <xdr:from>
      <xdr:col>87</xdr:col>
      <xdr:colOff>9525</xdr:colOff>
      <xdr:row>191</xdr:row>
      <xdr:rowOff>9525</xdr:rowOff>
    </xdr:from>
    <xdr:ext cx="1905000" cy="1905000"/>
    <xdr:pic>
      <xdr:nvPicPr>
        <xdr:cNvPr id="183" name="First Page Clipping" descr="First Page Clipping">
          <a:extLst>
            <a:ext uri="{FF2B5EF4-FFF2-40B4-BE49-F238E27FC236}">
              <a16:creationId xmlns:a16="http://schemas.microsoft.com/office/drawing/2014/main" id="{00000000-0008-0000-0000-0000B7000000}"/>
            </a:ext>
          </a:extLst>
        </xdr:cNvPr>
        <xdr:cNvPicPr>
          <a:picLocks noChangeAspect="1"/>
        </xdr:cNvPicPr>
      </xdr:nvPicPr>
      <xdr:blipFill>
        <a:blip xmlns:r="http://schemas.openxmlformats.org/officeDocument/2006/relationships" r:embed="rId171"/>
        <a:stretch>
          <a:fillRect/>
        </a:stretch>
      </xdr:blipFill>
      <xdr:spPr>
        <a:xfrm>
          <a:off x="0" y="0"/>
          <a:ext cx="0" cy="0"/>
        </a:xfrm>
        <a:prstGeom prst="rect">
          <a:avLst/>
        </a:prstGeom>
      </xdr:spPr>
    </xdr:pic>
    <xdr:clientData/>
  </xdr:oneCellAnchor>
  <xdr:oneCellAnchor>
    <xdr:from>
      <xdr:col>87</xdr:col>
      <xdr:colOff>9525</xdr:colOff>
      <xdr:row>192</xdr:row>
      <xdr:rowOff>9525</xdr:rowOff>
    </xdr:from>
    <xdr:ext cx="1905000" cy="1905000"/>
    <xdr:pic>
      <xdr:nvPicPr>
        <xdr:cNvPr id="184" name="First Page Clipping" descr="First Page Clipping">
          <a:extLst>
            <a:ext uri="{FF2B5EF4-FFF2-40B4-BE49-F238E27FC236}">
              <a16:creationId xmlns:a16="http://schemas.microsoft.com/office/drawing/2014/main" id="{00000000-0008-0000-0000-0000B8000000}"/>
            </a:ext>
          </a:extLst>
        </xdr:cNvPr>
        <xdr:cNvPicPr>
          <a:picLocks noChangeAspect="1"/>
        </xdr:cNvPicPr>
      </xdr:nvPicPr>
      <xdr:blipFill>
        <a:blip xmlns:r="http://schemas.openxmlformats.org/officeDocument/2006/relationships" r:embed="rId172"/>
        <a:stretch>
          <a:fillRect/>
        </a:stretch>
      </xdr:blipFill>
      <xdr:spPr>
        <a:xfrm>
          <a:off x="0" y="0"/>
          <a:ext cx="0" cy="0"/>
        </a:xfrm>
        <a:prstGeom prst="rect">
          <a:avLst/>
        </a:prstGeom>
      </xdr:spPr>
    </xdr:pic>
    <xdr:clientData/>
  </xdr:oneCellAnchor>
  <xdr:oneCellAnchor>
    <xdr:from>
      <xdr:col>87</xdr:col>
      <xdr:colOff>9525</xdr:colOff>
      <xdr:row>193</xdr:row>
      <xdr:rowOff>9525</xdr:rowOff>
    </xdr:from>
    <xdr:ext cx="1905000" cy="1905000"/>
    <xdr:pic>
      <xdr:nvPicPr>
        <xdr:cNvPr id="185" name="First Page Clipping" descr="First Page Clipping">
          <a:extLst>
            <a:ext uri="{FF2B5EF4-FFF2-40B4-BE49-F238E27FC236}">
              <a16:creationId xmlns:a16="http://schemas.microsoft.com/office/drawing/2014/main" id="{00000000-0008-0000-0000-0000B9000000}"/>
            </a:ext>
          </a:extLst>
        </xdr:cNvPr>
        <xdr:cNvPicPr>
          <a:picLocks noChangeAspect="1"/>
        </xdr:cNvPicPr>
      </xdr:nvPicPr>
      <xdr:blipFill>
        <a:blip xmlns:r="http://schemas.openxmlformats.org/officeDocument/2006/relationships" r:embed="rId173"/>
        <a:stretch>
          <a:fillRect/>
        </a:stretch>
      </xdr:blipFill>
      <xdr:spPr>
        <a:xfrm>
          <a:off x="0" y="0"/>
          <a:ext cx="0" cy="0"/>
        </a:xfrm>
        <a:prstGeom prst="rect">
          <a:avLst/>
        </a:prstGeom>
      </xdr:spPr>
    </xdr:pic>
    <xdr:clientData/>
  </xdr:oneCellAnchor>
  <xdr:oneCellAnchor>
    <xdr:from>
      <xdr:col>87</xdr:col>
      <xdr:colOff>9525</xdr:colOff>
      <xdr:row>195</xdr:row>
      <xdr:rowOff>9525</xdr:rowOff>
    </xdr:from>
    <xdr:ext cx="1905000" cy="1905000"/>
    <xdr:pic>
      <xdr:nvPicPr>
        <xdr:cNvPr id="186" name="First Page Clipping" descr="First Page Clipping">
          <a:extLst>
            <a:ext uri="{FF2B5EF4-FFF2-40B4-BE49-F238E27FC236}">
              <a16:creationId xmlns:a16="http://schemas.microsoft.com/office/drawing/2014/main" id="{00000000-0008-0000-0000-0000BA000000}"/>
            </a:ext>
          </a:extLst>
        </xdr:cNvPr>
        <xdr:cNvPicPr>
          <a:picLocks noChangeAspect="1"/>
        </xdr:cNvPicPr>
      </xdr:nvPicPr>
      <xdr:blipFill>
        <a:blip xmlns:r="http://schemas.openxmlformats.org/officeDocument/2006/relationships" r:embed="rId174"/>
        <a:stretch>
          <a:fillRect/>
        </a:stretch>
      </xdr:blipFill>
      <xdr:spPr>
        <a:xfrm>
          <a:off x="0" y="0"/>
          <a:ext cx="0" cy="0"/>
        </a:xfrm>
        <a:prstGeom prst="rect">
          <a:avLst/>
        </a:prstGeom>
      </xdr:spPr>
    </xdr:pic>
    <xdr:clientData/>
  </xdr:oneCellAnchor>
  <xdr:oneCellAnchor>
    <xdr:from>
      <xdr:col>87</xdr:col>
      <xdr:colOff>9525</xdr:colOff>
      <xdr:row>196</xdr:row>
      <xdr:rowOff>9525</xdr:rowOff>
    </xdr:from>
    <xdr:ext cx="1905000" cy="1905000"/>
    <xdr:pic>
      <xdr:nvPicPr>
        <xdr:cNvPr id="187" name="First Page Clipping" descr="First Page Clipping">
          <a:extLst>
            <a:ext uri="{FF2B5EF4-FFF2-40B4-BE49-F238E27FC236}">
              <a16:creationId xmlns:a16="http://schemas.microsoft.com/office/drawing/2014/main" id="{00000000-0008-0000-0000-0000BB000000}"/>
            </a:ext>
          </a:extLst>
        </xdr:cNvPr>
        <xdr:cNvPicPr>
          <a:picLocks noChangeAspect="1"/>
        </xdr:cNvPicPr>
      </xdr:nvPicPr>
      <xdr:blipFill>
        <a:blip xmlns:r="http://schemas.openxmlformats.org/officeDocument/2006/relationships" r:embed="rId175"/>
        <a:stretch>
          <a:fillRect/>
        </a:stretch>
      </xdr:blipFill>
      <xdr:spPr>
        <a:xfrm>
          <a:off x="0" y="0"/>
          <a:ext cx="0" cy="0"/>
        </a:xfrm>
        <a:prstGeom prst="rect">
          <a:avLst/>
        </a:prstGeom>
      </xdr:spPr>
    </xdr:pic>
    <xdr:clientData/>
  </xdr:oneCellAnchor>
  <xdr:oneCellAnchor>
    <xdr:from>
      <xdr:col>87</xdr:col>
      <xdr:colOff>9525</xdr:colOff>
      <xdr:row>197</xdr:row>
      <xdr:rowOff>9525</xdr:rowOff>
    </xdr:from>
    <xdr:ext cx="1905000" cy="1905000"/>
    <xdr:pic>
      <xdr:nvPicPr>
        <xdr:cNvPr id="188" name="First Page Clipping" descr="First Page Clipping">
          <a:extLst>
            <a:ext uri="{FF2B5EF4-FFF2-40B4-BE49-F238E27FC236}">
              <a16:creationId xmlns:a16="http://schemas.microsoft.com/office/drawing/2014/main" id="{00000000-0008-0000-0000-0000BC000000}"/>
            </a:ext>
          </a:extLst>
        </xdr:cNvPr>
        <xdr:cNvPicPr>
          <a:picLocks noChangeAspect="1"/>
        </xdr:cNvPicPr>
      </xdr:nvPicPr>
      <xdr:blipFill>
        <a:blip xmlns:r="http://schemas.openxmlformats.org/officeDocument/2006/relationships" r:embed="rId176"/>
        <a:stretch>
          <a:fillRect/>
        </a:stretch>
      </xdr:blipFill>
      <xdr:spPr>
        <a:xfrm>
          <a:off x="0" y="0"/>
          <a:ext cx="0" cy="0"/>
        </a:xfrm>
        <a:prstGeom prst="rect">
          <a:avLst/>
        </a:prstGeom>
      </xdr:spPr>
    </xdr:pic>
    <xdr:clientData/>
  </xdr:oneCellAnchor>
  <xdr:oneCellAnchor>
    <xdr:from>
      <xdr:col>87</xdr:col>
      <xdr:colOff>9525</xdr:colOff>
      <xdr:row>198</xdr:row>
      <xdr:rowOff>9525</xdr:rowOff>
    </xdr:from>
    <xdr:ext cx="1905000" cy="1905000"/>
    <xdr:pic>
      <xdr:nvPicPr>
        <xdr:cNvPr id="189" name="First Page Clipping" descr="First Page Clipping">
          <a:extLst>
            <a:ext uri="{FF2B5EF4-FFF2-40B4-BE49-F238E27FC236}">
              <a16:creationId xmlns:a16="http://schemas.microsoft.com/office/drawing/2014/main" id="{00000000-0008-0000-0000-0000BD000000}"/>
            </a:ext>
          </a:extLst>
        </xdr:cNvPr>
        <xdr:cNvPicPr>
          <a:picLocks noChangeAspect="1"/>
        </xdr:cNvPicPr>
      </xdr:nvPicPr>
      <xdr:blipFill>
        <a:blip xmlns:r="http://schemas.openxmlformats.org/officeDocument/2006/relationships" r:embed="rId177"/>
        <a:stretch>
          <a:fillRect/>
        </a:stretch>
      </xdr:blipFill>
      <xdr:spPr>
        <a:xfrm>
          <a:off x="0" y="0"/>
          <a:ext cx="0" cy="0"/>
        </a:xfrm>
        <a:prstGeom prst="rect">
          <a:avLst/>
        </a:prstGeom>
      </xdr:spPr>
    </xdr:pic>
    <xdr:clientData/>
  </xdr:oneCellAnchor>
  <xdr:oneCellAnchor>
    <xdr:from>
      <xdr:col>87</xdr:col>
      <xdr:colOff>9525</xdr:colOff>
      <xdr:row>199</xdr:row>
      <xdr:rowOff>9525</xdr:rowOff>
    </xdr:from>
    <xdr:ext cx="1905000" cy="1905000"/>
    <xdr:pic>
      <xdr:nvPicPr>
        <xdr:cNvPr id="190" name="First Page Clipping" descr="First Page Clipping">
          <a:extLst>
            <a:ext uri="{FF2B5EF4-FFF2-40B4-BE49-F238E27FC236}">
              <a16:creationId xmlns:a16="http://schemas.microsoft.com/office/drawing/2014/main" id="{00000000-0008-0000-0000-0000BE000000}"/>
            </a:ext>
          </a:extLst>
        </xdr:cNvPr>
        <xdr:cNvPicPr>
          <a:picLocks noChangeAspect="1"/>
        </xdr:cNvPicPr>
      </xdr:nvPicPr>
      <xdr:blipFill>
        <a:blip xmlns:r="http://schemas.openxmlformats.org/officeDocument/2006/relationships" r:embed="rId178"/>
        <a:stretch>
          <a:fillRect/>
        </a:stretch>
      </xdr:blipFill>
      <xdr:spPr>
        <a:xfrm>
          <a:off x="0" y="0"/>
          <a:ext cx="0" cy="0"/>
        </a:xfrm>
        <a:prstGeom prst="rect">
          <a:avLst/>
        </a:prstGeom>
      </xdr:spPr>
    </xdr:pic>
    <xdr:clientData/>
  </xdr:oneCellAnchor>
  <xdr:oneCellAnchor>
    <xdr:from>
      <xdr:col>87</xdr:col>
      <xdr:colOff>9525</xdr:colOff>
      <xdr:row>200</xdr:row>
      <xdr:rowOff>9525</xdr:rowOff>
    </xdr:from>
    <xdr:ext cx="1905000" cy="1905000"/>
    <xdr:pic>
      <xdr:nvPicPr>
        <xdr:cNvPr id="191" name="First Page Clipping" descr="First Page Clipping">
          <a:extLst>
            <a:ext uri="{FF2B5EF4-FFF2-40B4-BE49-F238E27FC236}">
              <a16:creationId xmlns:a16="http://schemas.microsoft.com/office/drawing/2014/main" id="{00000000-0008-0000-0000-0000BF000000}"/>
            </a:ext>
          </a:extLst>
        </xdr:cNvPr>
        <xdr:cNvPicPr>
          <a:picLocks noChangeAspect="1"/>
        </xdr:cNvPicPr>
      </xdr:nvPicPr>
      <xdr:blipFill>
        <a:blip xmlns:r="http://schemas.openxmlformats.org/officeDocument/2006/relationships" r:embed="rId179"/>
        <a:stretch>
          <a:fillRect/>
        </a:stretch>
      </xdr:blipFill>
      <xdr:spPr>
        <a:xfrm>
          <a:off x="0" y="0"/>
          <a:ext cx="0" cy="0"/>
        </a:xfrm>
        <a:prstGeom prst="rect">
          <a:avLst/>
        </a:prstGeom>
      </xdr:spPr>
    </xdr:pic>
    <xdr:clientData/>
  </xdr:oneCellAnchor>
  <xdr:oneCellAnchor>
    <xdr:from>
      <xdr:col>87</xdr:col>
      <xdr:colOff>9525</xdr:colOff>
      <xdr:row>201</xdr:row>
      <xdr:rowOff>9525</xdr:rowOff>
    </xdr:from>
    <xdr:ext cx="1905000" cy="1905000"/>
    <xdr:pic>
      <xdr:nvPicPr>
        <xdr:cNvPr id="192" name="First Page Clipping" descr="First Page Clipping">
          <a:extLst>
            <a:ext uri="{FF2B5EF4-FFF2-40B4-BE49-F238E27FC236}">
              <a16:creationId xmlns:a16="http://schemas.microsoft.com/office/drawing/2014/main" id="{00000000-0008-0000-0000-0000C0000000}"/>
            </a:ext>
          </a:extLst>
        </xdr:cNvPr>
        <xdr:cNvPicPr>
          <a:picLocks noChangeAspect="1"/>
        </xdr:cNvPicPr>
      </xdr:nvPicPr>
      <xdr:blipFill>
        <a:blip xmlns:r="http://schemas.openxmlformats.org/officeDocument/2006/relationships" r:embed="rId180"/>
        <a:stretch>
          <a:fillRect/>
        </a:stretch>
      </xdr:blipFill>
      <xdr:spPr>
        <a:xfrm>
          <a:off x="0" y="0"/>
          <a:ext cx="0" cy="0"/>
        </a:xfrm>
        <a:prstGeom prst="rect">
          <a:avLst/>
        </a:prstGeom>
      </xdr:spPr>
    </xdr:pic>
    <xdr:clientData/>
  </xdr:oneCellAnchor>
  <xdr:oneCellAnchor>
    <xdr:from>
      <xdr:col>87</xdr:col>
      <xdr:colOff>9525</xdr:colOff>
      <xdr:row>202</xdr:row>
      <xdr:rowOff>9525</xdr:rowOff>
    </xdr:from>
    <xdr:ext cx="1905000" cy="1905000"/>
    <xdr:pic>
      <xdr:nvPicPr>
        <xdr:cNvPr id="193" name="First Page Clipping" descr="First Page Clipping">
          <a:extLst>
            <a:ext uri="{FF2B5EF4-FFF2-40B4-BE49-F238E27FC236}">
              <a16:creationId xmlns:a16="http://schemas.microsoft.com/office/drawing/2014/main" id="{00000000-0008-0000-0000-0000C1000000}"/>
            </a:ext>
          </a:extLst>
        </xdr:cNvPr>
        <xdr:cNvPicPr>
          <a:picLocks noChangeAspect="1"/>
        </xdr:cNvPicPr>
      </xdr:nvPicPr>
      <xdr:blipFill>
        <a:blip xmlns:r="http://schemas.openxmlformats.org/officeDocument/2006/relationships" r:embed="rId181"/>
        <a:stretch>
          <a:fillRect/>
        </a:stretch>
      </xdr:blipFill>
      <xdr:spPr>
        <a:xfrm>
          <a:off x="0" y="0"/>
          <a:ext cx="0" cy="0"/>
        </a:xfrm>
        <a:prstGeom prst="rect">
          <a:avLst/>
        </a:prstGeom>
      </xdr:spPr>
    </xdr:pic>
    <xdr:clientData/>
  </xdr:oneCellAnchor>
  <xdr:oneCellAnchor>
    <xdr:from>
      <xdr:col>87</xdr:col>
      <xdr:colOff>9525</xdr:colOff>
      <xdr:row>203</xdr:row>
      <xdr:rowOff>9525</xdr:rowOff>
    </xdr:from>
    <xdr:ext cx="1905000" cy="1905000"/>
    <xdr:pic>
      <xdr:nvPicPr>
        <xdr:cNvPr id="194" name="First Page Clipping" descr="First Page Clipping">
          <a:extLst>
            <a:ext uri="{FF2B5EF4-FFF2-40B4-BE49-F238E27FC236}">
              <a16:creationId xmlns:a16="http://schemas.microsoft.com/office/drawing/2014/main" id="{00000000-0008-0000-0000-0000C2000000}"/>
            </a:ext>
          </a:extLst>
        </xdr:cNvPr>
        <xdr:cNvPicPr>
          <a:picLocks noChangeAspect="1"/>
        </xdr:cNvPicPr>
      </xdr:nvPicPr>
      <xdr:blipFill>
        <a:blip xmlns:r="http://schemas.openxmlformats.org/officeDocument/2006/relationships" r:embed="rId182"/>
        <a:stretch>
          <a:fillRect/>
        </a:stretch>
      </xdr:blipFill>
      <xdr:spPr>
        <a:xfrm>
          <a:off x="0" y="0"/>
          <a:ext cx="0" cy="0"/>
        </a:xfrm>
        <a:prstGeom prst="rect">
          <a:avLst/>
        </a:prstGeom>
      </xdr:spPr>
    </xdr:pic>
    <xdr:clientData/>
  </xdr:oneCellAnchor>
  <xdr:oneCellAnchor>
    <xdr:from>
      <xdr:col>87</xdr:col>
      <xdr:colOff>9525</xdr:colOff>
      <xdr:row>204</xdr:row>
      <xdr:rowOff>9525</xdr:rowOff>
    </xdr:from>
    <xdr:ext cx="1905000" cy="1905000"/>
    <xdr:pic>
      <xdr:nvPicPr>
        <xdr:cNvPr id="195" name="First Page Clipping" descr="First Page Clipping">
          <a:extLst>
            <a:ext uri="{FF2B5EF4-FFF2-40B4-BE49-F238E27FC236}">
              <a16:creationId xmlns:a16="http://schemas.microsoft.com/office/drawing/2014/main" id="{00000000-0008-0000-0000-0000C3000000}"/>
            </a:ext>
          </a:extLst>
        </xdr:cNvPr>
        <xdr:cNvPicPr>
          <a:picLocks noChangeAspect="1"/>
        </xdr:cNvPicPr>
      </xdr:nvPicPr>
      <xdr:blipFill>
        <a:blip xmlns:r="http://schemas.openxmlformats.org/officeDocument/2006/relationships" r:embed="rId183"/>
        <a:stretch>
          <a:fillRect/>
        </a:stretch>
      </xdr:blipFill>
      <xdr:spPr>
        <a:xfrm>
          <a:off x="0" y="0"/>
          <a:ext cx="0" cy="0"/>
        </a:xfrm>
        <a:prstGeom prst="rect">
          <a:avLst/>
        </a:prstGeom>
      </xdr:spPr>
    </xdr:pic>
    <xdr:clientData/>
  </xdr:oneCellAnchor>
  <xdr:oneCellAnchor>
    <xdr:from>
      <xdr:col>87</xdr:col>
      <xdr:colOff>9525</xdr:colOff>
      <xdr:row>205</xdr:row>
      <xdr:rowOff>9525</xdr:rowOff>
    </xdr:from>
    <xdr:ext cx="1905000" cy="1905000"/>
    <xdr:pic>
      <xdr:nvPicPr>
        <xdr:cNvPr id="196" name="First Page Clipping" descr="First Page Clipping">
          <a:extLst>
            <a:ext uri="{FF2B5EF4-FFF2-40B4-BE49-F238E27FC236}">
              <a16:creationId xmlns:a16="http://schemas.microsoft.com/office/drawing/2014/main" id="{00000000-0008-0000-0000-0000C4000000}"/>
            </a:ext>
          </a:extLst>
        </xdr:cNvPr>
        <xdr:cNvPicPr>
          <a:picLocks noChangeAspect="1"/>
        </xdr:cNvPicPr>
      </xdr:nvPicPr>
      <xdr:blipFill>
        <a:blip xmlns:r="http://schemas.openxmlformats.org/officeDocument/2006/relationships" r:embed="rId184"/>
        <a:stretch>
          <a:fillRect/>
        </a:stretch>
      </xdr:blipFill>
      <xdr:spPr>
        <a:xfrm>
          <a:off x="0" y="0"/>
          <a:ext cx="0" cy="0"/>
        </a:xfrm>
        <a:prstGeom prst="rect">
          <a:avLst/>
        </a:prstGeom>
      </xdr:spPr>
    </xdr:pic>
    <xdr:clientData/>
  </xdr:oneCellAnchor>
  <xdr:oneCellAnchor>
    <xdr:from>
      <xdr:col>87</xdr:col>
      <xdr:colOff>9525</xdr:colOff>
      <xdr:row>206</xdr:row>
      <xdr:rowOff>9525</xdr:rowOff>
    </xdr:from>
    <xdr:ext cx="1905000" cy="1905000"/>
    <xdr:pic>
      <xdr:nvPicPr>
        <xdr:cNvPr id="197" name="First Page Clipping" descr="First Page Clipping">
          <a:extLst>
            <a:ext uri="{FF2B5EF4-FFF2-40B4-BE49-F238E27FC236}">
              <a16:creationId xmlns:a16="http://schemas.microsoft.com/office/drawing/2014/main" id="{00000000-0008-0000-0000-0000C5000000}"/>
            </a:ext>
          </a:extLst>
        </xdr:cNvPr>
        <xdr:cNvPicPr>
          <a:picLocks noChangeAspect="1"/>
        </xdr:cNvPicPr>
      </xdr:nvPicPr>
      <xdr:blipFill>
        <a:blip xmlns:r="http://schemas.openxmlformats.org/officeDocument/2006/relationships" r:embed="rId149"/>
        <a:stretch>
          <a:fillRect/>
        </a:stretch>
      </xdr:blipFill>
      <xdr:spPr>
        <a:xfrm>
          <a:off x="0" y="0"/>
          <a:ext cx="0" cy="0"/>
        </a:xfrm>
        <a:prstGeom prst="rect">
          <a:avLst/>
        </a:prstGeom>
      </xdr:spPr>
    </xdr:pic>
    <xdr:clientData/>
  </xdr:oneCellAnchor>
  <xdr:oneCellAnchor>
    <xdr:from>
      <xdr:col>87</xdr:col>
      <xdr:colOff>9525</xdr:colOff>
      <xdr:row>207</xdr:row>
      <xdr:rowOff>9525</xdr:rowOff>
    </xdr:from>
    <xdr:ext cx="1905000" cy="1905000"/>
    <xdr:pic>
      <xdr:nvPicPr>
        <xdr:cNvPr id="198" name="First Page Clipping" descr="First Page Clipping">
          <a:extLst>
            <a:ext uri="{FF2B5EF4-FFF2-40B4-BE49-F238E27FC236}">
              <a16:creationId xmlns:a16="http://schemas.microsoft.com/office/drawing/2014/main" id="{00000000-0008-0000-0000-0000C6000000}"/>
            </a:ext>
          </a:extLst>
        </xdr:cNvPr>
        <xdr:cNvPicPr>
          <a:picLocks noChangeAspect="1"/>
        </xdr:cNvPicPr>
      </xdr:nvPicPr>
      <xdr:blipFill>
        <a:blip xmlns:r="http://schemas.openxmlformats.org/officeDocument/2006/relationships" r:embed="rId185"/>
        <a:stretch>
          <a:fillRect/>
        </a:stretch>
      </xdr:blipFill>
      <xdr:spPr>
        <a:xfrm>
          <a:off x="0" y="0"/>
          <a:ext cx="0" cy="0"/>
        </a:xfrm>
        <a:prstGeom prst="rect">
          <a:avLst/>
        </a:prstGeom>
      </xdr:spPr>
    </xdr:pic>
    <xdr:clientData/>
  </xdr:oneCellAnchor>
  <xdr:oneCellAnchor>
    <xdr:from>
      <xdr:col>87</xdr:col>
      <xdr:colOff>9525</xdr:colOff>
      <xdr:row>208</xdr:row>
      <xdr:rowOff>9525</xdr:rowOff>
    </xdr:from>
    <xdr:ext cx="1905000" cy="1905000"/>
    <xdr:pic>
      <xdr:nvPicPr>
        <xdr:cNvPr id="199" name="First Page Clipping" descr="First Page Clipping">
          <a:extLst>
            <a:ext uri="{FF2B5EF4-FFF2-40B4-BE49-F238E27FC236}">
              <a16:creationId xmlns:a16="http://schemas.microsoft.com/office/drawing/2014/main" id="{00000000-0008-0000-0000-0000C7000000}"/>
            </a:ext>
          </a:extLst>
        </xdr:cNvPr>
        <xdr:cNvPicPr>
          <a:picLocks noChangeAspect="1"/>
        </xdr:cNvPicPr>
      </xdr:nvPicPr>
      <xdr:blipFill>
        <a:blip xmlns:r="http://schemas.openxmlformats.org/officeDocument/2006/relationships" r:embed="rId186"/>
        <a:stretch>
          <a:fillRect/>
        </a:stretch>
      </xdr:blipFill>
      <xdr:spPr>
        <a:xfrm>
          <a:off x="0" y="0"/>
          <a:ext cx="0" cy="0"/>
        </a:xfrm>
        <a:prstGeom prst="rect">
          <a:avLst/>
        </a:prstGeom>
      </xdr:spPr>
    </xdr:pic>
    <xdr:clientData/>
  </xdr:oneCellAnchor>
  <xdr:oneCellAnchor>
    <xdr:from>
      <xdr:col>87</xdr:col>
      <xdr:colOff>9525</xdr:colOff>
      <xdr:row>209</xdr:row>
      <xdr:rowOff>9525</xdr:rowOff>
    </xdr:from>
    <xdr:ext cx="1905000" cy="1905000"/>
    <xdr:pic>
      <xdr:nvPicPr>
        <xdr:cNvPr id="200" name="First Page Clipping" descr="First Page Clipping">
          <a:extLst>
            <a:ext uri="{FF2B5EF4-FFF2-40B4-BE49-F238E27FC236}">
              <a16:creationId xmlns:a16="http://schemas.microsoft.com/office/drawing/2014/main" id="{00000000-0008-0000-0000-0000C8000000}"/>
            </a:ext>
          </a:extLst>
        </xdr:cNvPr>
        <xdr:cNvPicPr>
          <a:picLocks noChangeAspect="1"/>
        </xdr:cNvPicPr>
      </xdr:nvPicPr>
      <xdr:blipFill>
        <a:blip xmlns:r="http://schemas.openxmlformats.org/officeDocument/2006/relationships" r:embed="rId187"/>
        <a:stretch>
          <a:fillRect/>
        </a:stretch>
      </xdr:blipFill>
      <xdr:spPr>
        <a:xfrm>
          <a:off x="0" y="0"/>
          <a:ext cx="0" cy="0"/>
        </a:xfrm>
        <a:prstGeom prst="rect">
          <a:avLst/>
        </a:prstGeom>
      </xdr:spPr>
    </xdr:pic>
    <xdr:clientData/>
  </xdr:oneCellAnchor>
  <xdr:oneCellAnchor>
    <xdr:from>
      <xdr:col>87</xdr:col>
      <xdr:colOff>9525</xdr:colOff>
      <xdr:row>210</xdr:row>
      <xdr:rowOff>9525</xdr:rowOff>
    </xdr:from>
    <xdr:ext cx="1905000" cy="1905000"/>
    <xdr:pic>
      <xdr:nvPicPr>
        <xdr:cNvPr id="201" name="First Page Clipping" descr="First Page Clipping">
          <a:extLst>
            <a:ext uri="{FF2B5EF4-FFF2-40B4-BE49-F238E27FC236}">
              <a16:creationId xmlns:a16="http://schemas.microsoft.com/office/drawing/2014/main" id="{00000000-0008-0000-0000-0000C9000000}"/>
            </a:ext>
          </a:extLst>
        </xdr:cNvPr>
        <xdr:cNvPicPr>
          <a:picLocks noChangeAspect="1"/>
        </xdr:cNvPicPr>
      </xdr:nvPicPr>
      <xdr:blipFill>
        <a:blip xmlns:r="http://schemas.openxmlformats.org/officeDocument/2006/relationships" r:embed="rId188"/>
        <a:stretch>
          <a:fillRect/>
        </a:stretch>
      </xdr:blipFill>
      <xdr:spPr>
        <a:xfrm>
          <a:off x="0" y="0"/>
          <a:ext cx="0" cy="0"/>
        </a:xfrm>
        <a:prstGeom prst="rect">
          <a:avLst/>
        </a:prstGeom>
      </xdr:spPr>
    </xdr:pic>
    <xdr:clientData/>
  </xdr:oneCellAnchor>
  <xdr:oneCellAnchor>
    <xdr:from>
      <xdr:col>87</xdr:col>
      <xdr:colOff>9525</xdr:colOff>
      <xdr:row>211</xdr:row>
      <xdr:rowOff>9525</xdr:rowOff>
    </xdr:from>
    <xdr:ext cx="1905000" cy="1905000"/>
    <xdr:pic>
      <xdr:nvPicPr>
        <xdr:cNvPr id="202" name="First Page Clipping" descr="First Page Clipping">
          <a:extLst>
            <a:ext uri="{FF2B5EF4-FFF2-40B4-BE49-F238E27FC236}">
              <a16:creationId xmlns:a16="http://schemas.microsoft.com/office/drawing/2014/main" id="{00000000-0008-0000-0000-0000CA000000}"/>
            </a:ext>
          </a:extLst>
        </xdr:cNvPr>
        <xdr:cNvPicPr>
          <a:picLocks noChangeAspect="1"/>
        </xdr:cNvPicPr>
      </xdr:nvPicPr>
      <xdr:blipFill>
        <a:blip xmlns:r="http://schemas.openxmlformats.org/officeDocument/2006/relationships" r:embed="rId189"/>
        <a:stretch>
          <a:fillRect/>
        </a:stretch>
      </xdr:blipFill>
      <xdr:spPr>
        <a:xfrm>
          <a:off x="0" y="0"/>
          <a:ext cx="0" cy="0"/>
        </a:xfrm>
        <a:prstGeom prst="rect">
          <a:avLst/>
        </a:prstGeom>
      </xdr:spPr>
    </xdr:pic>
    <xdr:clientData/>
  </xdr:oneCellAnchor>
  <xdr:oneCellAnchor>
    <xdr:from>
      <xdr:col>87</xdr:col>
      <xdr:colOff>9525</xdr:colOff>
      <xdr:row>213</xdr:row>
      <xdr:rowOff>9525</xdr:rowOff>
    </xdr:from>
    <xdr:ext cx="1905000" cy="1905000"/>
    <xdr:pic>
      <xdr:nvPicPr>
        <xdr:cNvPr id="203" name="First Page Clipping" descr="First Page Clipping">
          <a:extLst>
            <a:ext uri="{FF2B5EF4-FFF2-40B4-BE49-F238E27FC236}">
              <a16:creationId xmlns:a16="http://schemas.microsoft.com/office/drawing/2014/main" id="{00000000-0008-0000-0000-0000CB000000}"/>
            </a:ext>
          </a:extLst>
        </xdr:cNvPr>
        <xdr:cNvPicPr>
          <a:picLocks noChangeAspect="1"/>
        </xdr:cNvPicPr>
      </xdr:nvPicPr>
      <xdr:blipFill>
        <a:blip xmlns:r="http://schemas.openxmlformats.org/officeDocument/2006/relationships" r:embed="rId190"/>
        <a:stretch>
          <a:fillRect/>
        </a:stretch>
      </xdr:blipFill>
      <xdr:spPr>
        <a:xfrm>
          <a:off x="0" y="0"/>
          <a:ext cx="0" cy="0"/>
        </a:xfrm>
        <a:prstGeom prst="rect">
          <a:avLst/>
        </a:prstGeom>
      </xdr:spPr>
    </xdr:pic>
    <xdr:clientData/>
  </xdr:oneCellAnchor>
  <xdr:oneCellAnchor>
    <xdr:from>
      <xdr:col>87</xdr:col>
      <xdr:colOff>9525</xdr:colOff>
      <xdr:row>214</xdr:row>
      <xdr:rowOff>9525</xdr:rowOff>
    </xdr:from>
    <xdr:ext cx="1905000" cy="1905000"/>
    <xdr:pic>
      <xdr:nvPicPr>
        <xdr:cNvPr id="204" name="First Page Clipping" descr="First Page Clipping">
          <a:extLst>
            <a:ext uri="{FF2B5EF4-FFF2-40B4-BE49-F238E27FC236}">
              <a16:creationId xmlns:a16="http://schemas.microsoft.com/office/drawing/2014/main" id="{00000000-0008-0000-0000-0000CC000000}"/>
            </a:ext>
          </a:extLst>
        </xdr:cNvPr>
        <xdr:cNvPicPr>
          <a:picLocks noChangeAspect="1"/>
        </xdr:cNvPicPr>
      </xdr:nvPicPr>
      <xdr:blipFill>
        <a:blip xmlns:r="http://schemas.openxmlformats.org/officeDocument/2006/relationships" r:embed="rId191"/>
        <a:stretch>
          <a:fillRect/>
        </a:stretch>
      </xdr:blipFill>
      <xdr:spPr>
        <a:xfrm>
          <a:off x="0" y="0"/>
          <a:ext cx="0" cy="0"/>
        </a:xfrm>
        <a:prstGeom prst="rect">
          <a:avLst/>
        </a:prstGeom>
      </xdr:spPr>
    </xdr:pic>
    <xdr:clientData/>
  </xdr:oneCellAnchor>
  <xdr:oneCellAnchor>
    <xdr:from>
      <xdr:col>87</xdr:col>
      <xdr:colOff>9525</xdr:colOff>
      <xdr:row>216</xdr:row>
      <xdr:rowOff>9525</xdr:rowOff>
    </xdr:from>
    <xdr:ext cx="1905000" cy="1905000"/>
    <xdr:pic>
      <xdr:nvPicPr>
        <xdr:cNvPr id="205" name="First Page Clipping" descr="First Page Clipping">
          <a:extLst>
            <a:ext uri="{FF2B5EF4-FFF2-40B4-BE49-F238E27FC236}">
              <a16:creationId xmlns:a16="http://schemas.microsoft.com/office/drawing/2014/main" id="{00000000-0008-0000-0000-0000CD000000}"/>
            </a:ext>
          </a:extLst>
        </xdr:cNvPr>
        <xdr:cNvPicPr>
          <a:picLocks noChangeAspect="1"/>
        </xdr:cNvPicPr>
      </xdr:nvPicPr>
      <xdr:blipFill>
        <a:blip xmlns:r="http://schemas.openxmlformats.org/officeDocument/2006/relationships" r:embed="rId192"/>
        <a:stretch>
          <a:fillRect/>
        </a:stretch>
      </xdr:blipFill>
      <xdr:spPr>
        <a:xfrm>
          <a:off x="0" y="0"/>
          <a:ext cx="0" cy="0"/>
        </a:xfrm>
        <a:prstGeom prst="rect">
          <a:avLst/>
        </a:prstGeom>
      </xdr:spPr>
    </xdr:pic>
    <xdr:clientData/>
  </xdr:oneCellAnchor>
  <xdr:oneCellAnchor>
    <xdr:from>
      <xdr:col>87</xdr:col>
      <xdr:colOff>9525</xdr:colOff>
      <xdr:row>217</xdr:row>
      <xdr:rowOff>9525</xdr:rowOff>
    </xdr:from>
    <xdr:ext cx="1905000" cy="1905000"/>
    <xdr:pic>
      <xdr:nvPicPr>
        <xdr:cNvPr id="206" name="First Page Clipping" descr="First Page Clipping">
          <a:extLst>
            <a:ext uri="{FF2B5EF4-FFF2-40B4-BE49-F238E27FC236}">
              <a16:creationId xmlns:a16="http://schemas.microsoft.com/office/drawing/2014/main" id="{00000000-0008-0000-0000-0000CE000000}"/>
            </a:ext>
          </a:extLst>
        </xdr:cNvPr>
        <xdr:cNvPicPr>
          <a:picLocks noChangeAspect="1"/>
        </xdr:cNvPicPr>
      </xdr:nvPicPr>
      <xdr:blipFill>
        <a:blip xmlns:r="http://schemas.openxmlformats.org/officeDocument/2006/relationships" r:embed="rId193"/>
        <a:stretch>
          <a:fillRect/>
        </a:stretch>
      </xdr:blipFill>
      <xdr:spPr>
        <a:xfrm>
          <a:off x="0" y="0"/>
          <a:ext cx="0" cy="0"/>
        </a:xfrm>
        <a:prstGeom prst="rect">
          <a:avLst/>
        </a:prstGeom>
      </xdr:spPr>
    </xdr:pic>
    <xdr:clientData/>
  </xdr:oneCellAnchor>
  <xdr:oneCellAnchor>
    <xdr:from>
      <xdr:col>87</xdr:col>
      <xdr:colOff>9525</xdr:colOff>
      <xdr:row>218</xdr:row>
      <xdr:rowOff>9525</xdr:rowOff>
    </xdr:from>
    <xdr:ext cx="1905000" cy="1905000"/>
    <xdr:pic>
      <xdr:nvPicPr>
        <xdr:cNvPr id="207" name="First Page Clipping" descr="First Page Clipping">
          <a:extLst>
            <a:ext uri="{FF2B5EF4-FFF2-40B4-BE49-F238E27FC236}">
              <a16:creationId xmlns:a16="http://schemas.microsoft.com/office/drawing/2014/main" id="{00000000-0008-0000-0000-0000CF000000}"/>
            </a:ext>
          </a:extLst>
        </xdr:cNvPr>
        <xdr:cNvPicPr>
          <a:picLocks noChangeAspect="1"/>
        </xdr:cNvPicPr>
      </xdr:nvPicPr>
      <xdr:blipFill>
        <a:blip xmlns:r="http://schemas.openxmlformats.org/officeDocument/2006/relationships" r:embed="rId194"/>
        <a:stretch>
          <a:fillRect/>
        </a:stretch>
      </xdr:blipFill>
      <xdr:spPr>
        <a:xfrm>
          <a:off x="0" y="0"/>
          <a:ext cx="0" cy="0"/>
        </a:xfrm>
        <a:prstGeom prst="rect">
          <a:avLst/>
        </a:prstGeom>
      </xdr:spPr>
    </xdr:pic>
    <xdr:clientData/>
  </xdr:oneCellAnchor>
  <xdr:oneCellAnchor>
    <xdr:from>
      <xdr:col>87</xdr:col>
      <xdr:colOff>9525</xdr:colOff>
      <xdr:row>219</xdr:row>
      <xdr:rowOff>9525</xdr:rowOff>
    </xdr:from>
    <xdr:ext cx="1905000" cy="1905000"/>
    <xdr:pic>
      <xdr:nvPicPr>
        <xdr:cNvPr id="208" name="First Page Clipping" descr="First Page Clipping">
          <a:extLst>
            <a:ext uri="{FF2B5EF4-FFF2-40B4-BE49-F238E27FC236}">
              <a16:creationId xmlns:a16="http://schemas.microsoft.com/office/drawing/2014/main" id="{00000000-0008-0000-0000-0000D0000000}"/>
            </a:ext>
          </a:extLst>
        </xdr:cNvPr>
        <xdr:cNvPicPr>
          <a:picLocks noChangeAspect="1"/>
        </xdr:cNvPicPr>
      </xdr:nvPicPr>
      <xdr:blipFill>
        <a:blip xmlns:r="http://schemas.openxmlformats.org/officeDocument/2006/relationships" r:embed="rId195"/>
        <a:stretch>
          <a:fillRect/>
        </a:stretch>
      </xdr:blipFill>
      <xdr:spPr>
        <a:xfrm>
          <a:off x="0" y="0"/>
          <a:ext cx="0" cy="0"/>
        </a:xfrm>
        <a:prstGeom prst="rect">
          <a:avLst/>
        </a:prstGeom>
      </xdr:spPr>
    </xdr:pic>
    <xdr:clientData/>
  </xdr:oneCellAnchor>
  <xdr:oneCellAnchor>
    <xdr:from>
      <xdr:col>87</xdr:col>
      <xdr:colOff>9525</xdr:colOff>
      <xdr:row>220</xdr:row>
      <xdr:rowOff>9525</xdr:rowOff>
    </xdr:from>
    <xdr:ext cx="1905000" cy="1905000"/>
    <xdr:pic>
      <xdr:nvPicPr>
        <xdr:cNvPr id="209" name="First Page Clipping" descr="First Page Clipping">
          <a:extLst>
            <a:ext uri="{FF2B5EF4-FFF2-40B4-BE49-F238E27FC236}">
              <a16:creationId xmlns:a16="http://schemas.microsoft.com/office/drawing/2014/main" id="{00000000-0008-0000-0000-0000D1000000}"/>
            </a:ext>
          </a:extLst>
        </xdr:cNvPr>
        <xdr:cNvPicPr>
          <a:picLocks noChangeAspect="1"/>
        </xdr:cNvPicPr>
      </xdr:nvPicPr>
      <xdr:blipFill>
        <a:blip xmlns:r="http://schemas.openxmlformats.org/officeDocument/2006/relationships" r:embed="rId196"/>
        <a:stretch>
          <a:fillRect/>
        </a:stretch>
      </xdr:blipFill>
      <xdr:spPr>
        <a:xfrm>
          <a:off x="0" y="0"/>
          <a:ext cx="0" cy="0"/>
        </a:xfrm>
        <a:prstGeom prst="rect">
          <a:avLst/>
        </a:prstGeom>
      </xdr:spPr>
    </xdr:pic>
    <xdr:clientData/>
  </xdr:oneCellAnchor>
  <xdr:oneCellAnchor>
    <xdr:from>
      <xdr:col>87</xdr:col>
      <xdr:colOff>9525</xdr:colOff>
      <xdr:row>221</xdr:row>
      <xdr:rowOff>9525</xdr:rowOff>
    </xdr:from>
    <xdr:ext cx="1905000" cy="1905000"/>
    <xdr:pic>
      <xdr:nvPicPr>
        <xdr:cNvPr id="210" name="First Page Clipping" descr="First Page Clipping">
          <a:extLst>
            <a:ext uri="{FF2B5EF4-FFF2-40B4-BE49-F238E27FC236}">
              <a16:creationId xmlns:a16="http://schemas.microsoft.com/office/drawing/2014/main" id="{00000000-0008-0000-0000-0000D2000000}"/>
            </a:ext>
          </a:extLst>
        </xdr:cNvPr>
        <xdr:cNvPicPr>
          <a:picLocks noChangeAspect="1"/>
        </xdr:cNvPicPr>
      </xdr:nvPicPr>
      <xdr:blipFill>
        <a:blip xmlns:r="http://schemas.openxmlformats.org/officeDocument/2006/relationships" r:embed="rId197"/>
        <a:stretch>
          <a:fillRect/>
        </a:stretch>
      </xdr:blipFill>
      <xdr:spPr>
        <a:xfrm>
          <a:off x="0" y="0"/>
          <a:ext cx="0" cy="0"/>
        </a:xfrm>
        <a:prstGeom prst="rect">
          <a:avLst/>
        </a:prstGeom>
      </xdr:spPr>
    </xdr:pic>
    <xdr:clientData/>
  </xdr:oneCellAnchor>
  <xdr:oneCellAnchor>
    <xdr:from>
      <xdr:col>87</xdr:col>
      <xdr:colOff>9525</xdr:colOff>
      <xdr:row>222</xdr:row>
      <xdr:rowOff>9525</xdr:rowOff>
    </xdr:from>
    <xdr:ext cx="1905000" cy="1905000"/>
    <xdr:pic>
      <xdr:nvPicPr>
        <xdr:cNvPr id="211" name="First Page Clipping" descr="First Page Clipping">
          <a:extLst>
            <a:ext uri="{FF2B5EF4-FFF2-40B4-BE49-F238E27FC236}">
              <a16:creationId xmlns:a16="http://schemas.microsoft.com/office/drawing/2014/main" id="{00000000-0008-0000-0000-0000D3000000}"/>
            </a:ext>
          </a:extLst>
        </xdr:cNvPr>
        <xdr:cNvPicPr>
          <a:picLocks noChangeAspect="1"/>
        </xdr:cNvPicPr>
      </xdr:nvPicPr>
      <xdr:blipFill>
        <a:blip xmlns:r="http://schemas.openxmlformats.org/officeDocument/2006/relationships" r:embed="rId198"/>
        <a:stretch>
          <a:fillRect/>
        </a:stretch>
      </xdr:blipFill>
      <xdr:spPr>
        <a:xfrm>
          <a:off x="0" y="0"/>
          <a:ext cx="0" cy="0"/>
        </a:xfrm>
        <a:prstGeom prst="rect">
          <a:avLst/>
        </a:prstGeom>
      </xdr:spPr>
    </xdr:pic>
    <xdr:clientData/>
  </xdr:oneCellAnchor>
  <xdr:oneCellAnchor>
    <xdr:from>
      <xdr:col>87</xdr:col>
      <xdr:colOff>9525</xdr:colOff>
      <xdr:row>223</xdr:row>
      <xdr:rowOff>9525</xdr:rowOff>
    </xdr:from>
    <xdr:ext cx="1905000" cy="1905000"/>
    <xdr:pic>
      <xdr:nvPicPr>
        <xdr:cNvPr id="212" name="First Page Clipping" descr="First Page Clipping">
          <a:extLst>
            <a:ext uri="{FF2B5EF4-FFF2-40B4-BE49-F238E27FC236}">
              <a16:creationId xmlns:a16="http://schemas.microsoft.com/office/drawing/2014/main" id="{00000000-0008-0000-0000-0000D4000000}"/>
            </a:ext>
          </a:extLst>
        </xdr:cNvPr>
        <xdr:cNvPicPr>
          <a:picLocks noChangeAspect="1"/>
        </xdr:cNvPicPr>
      </xdr:nvPicPr>
      <xdr:blipFill>
        <a:blip xmlns:r="http://schemas.openxmlformats.org/officeDocument/2006/relationships" r:embed="rId199"/>
        <a:stretch>
          <a:fillRect/>
        </a:stretch>
      </xdr:blipFill>
      <xdr:spPr>
        <a:xfrm>
          <a:off x="0" y="0"/>
          <a:ext cx="0" cy="0"/>
        </a:xfrm>
        <a:prstGeom prst="rect">
          <a:avLst/>
        </a:prstGeom>
      </xdr:spPr>
    </xdr:pic>
    <xdr:clientData/>
  </xdr:oneCellAnchor>
  <xdr:oneCellAnchor>
    <xdr:from>
      <xdr:col>87</xdr:col>
      <xdr:colOff>9525</xdr:colOff>
      <xdr:row>224</xdr:row>
      <xdr:rowOff>9525</xdr:rowOff>
    </xdr:from>
    <xdr:ext cx="1905000" cy="1905000"/>
    <xdr:pic>
      <xdr:nvPicPr>
        <xdr:cNvPr id="213" name="First Page Clipping" descr="First Page Clipping">
          <a:extLst>
            <a:ext uri="{FF2B5EF4-FFF2-40B4-BE49-F238E27FC236}">
              <a16:creationId xmlns:a16="http://schemas.microsoft.com/office/drawing/2014/main" id="{00000000-0008-0000-0000-0000D5000000}"/>
            </a:ext>
          </a:extLst>
        </xdr:cNvPr>
        <xdr:cNvPicPr>
          <a:picLocks noChangeAspect="1"/>
        </xdr:cNvPicPr>
      </xdr:nvPicPr>
      <xdr:blipFill>
        <a:blip xmlns:r="http://schemas.openxmlformats.org/officeDocument/2006/relationships" r:embed="rId200"/>
        <a:stretch>
          <a:fillRect/>
        </a:stretch>
      </xdr:blipFill>
      <xdr:spPr>
        <a:xfrm>
          <a:off x="0" y="0"/>
          <a:ext cx="0" cy="0"/>
        </a:xfrm>
        <a:prstGeom prst="rect">
          <a:avLst/>
        </a:prstGeom>
      </xdr:spPr>
    </xdr:pic>
    <xdr:clientData/>
  </xdr:oneCellAnchor>
  <xdr:oneCellAnchor>
    <xdr:from>
      <xdr:col>87</xdr:col>
      <xdr:colOff>9525</xdr:colOff>
      <xdr:row>225</xdr:row>
      <xdr:rowOff>9525</xdr:rowOff>
    </xdr:from>
    <xdr:ext cx="1905000" cy="1905000"/>
    <xdr:pic>
      <xdr:nvPicPr>
        <xdr:cNvPr id="214" name="First Page Clipping" descr="First Page Clipping">
          <a:extLst>
            <a:ext uri="{FF2B5EF4-FFF2-40B4-BE49-F238E27FC236}">
              <a16:creationId xmlns:a16="http://schemas.microsoft.com/office/drawing/2014/main" id="{00000000-0008-0000-0000-0000D6000000}"/>
            </a:ext>
          </a:extLst>
        </xdr:cNvPr>
        <xdr:cNvPicPr>
          <a:picLocks noChangeAspect="1"/>
        </xdr:cNvPicPr>
      </xdr:nvPicPr>
      <xdr:blipFill>
        <a:blip xmlns:r="http://schemas.openxmlformats.org/officeDocument/2006/relationships" r:embed="rId200"/>
        <a:stretch>
          <a:fillRect/>
        </a:stretch>
      </xdr:blipFill>
      <xdr:spPr>
        <a:xfrm>
          <a:off x="0" y="0"/>
          <a:ext cx="0" cy="0"/>
        </a:xfrm>
        <a:prstGeom prst="rect">
          <a:avLst/>
        </a:prstGeom>
      </xdr:spPr>
    </xdr:pic>
    <xdr:clientData/>
  </xdr:oneCellAnchor>
  <xdr:oneCellAnchor>
    <xdr:from>
      <xdr:col>87</xdr:col>
      <xdr:colOff>9525</xdr:colOff>
      <xdr:row>226</xdr:row>
      <xdr:rowOff>9525</xdr:rowOff>
    </xdr:from>
    <xdr:ext cx="1905000" cy="1905000"/>
    <xdr:pic>
      <xdr:nvPicPr>
        <xdr:cNvPr id="215" name="First Page Clipping" descr="First Page Clipping">
          <a:extLst>
            <a:ext uri="{FF2B5EF4-FFF2-40B4-BE49-F238E27FC236}">
              <a16:creationId xmlns:a16="http://schemas.microsoft.com/office/drawing/2014/main" id="{00000000-0008-0000-0000-0000D7000000}"/>
            </a:ext>
          </a:extLst>
        </xdr:cNvPr>
        <xdr:cNvPicPr>
          <a:picLocks noChangeAspect="1"/>
        </xdr:cNvPicPr>
      </xdr:nvPicPr>
      <xdr:blipFill>
        <a:blip xmlns:r="http://schemas.openxmlformats.org/officeDocument/2006/relationships" r:embed="rId20"/>
        <a:stretch>
          <a:fillRect/>
        </a:stretch>
      </xdr:blipFill>
      <xdr:spPr>
        <a:xfrm>
          <a:off x="0" y="0"/>
          <a:ext cx="0" cy="0"/>
        </a:xfrm>
        <a:prstGeom prst="rect">
          <a:avLst/>
        </a:prstGeom>
      </xdr:spPr>
    </xdr:pic>
    <xdr:clientData/>
  </xdr:oneCellAnchor>
  <xdr:oneCellAnchor>
    <xdr:from>
      <xdr:col>87</xdr:col>
      <xdr:colOff>9525</xdr:colOff>
      <xdr:row>227</xdr:row>
      <xdr:rowOff>9525</xdr:rowOff>
    </xdr:from>
    <xdr:ext cx="1905000" cy="1905000"/>
    <xdr:pic>
      <xdr:nvPicPr>
        <xdr:cNvPr id="216" name="First Page Clipping" descr="First Page Clipping">
          <a:extLst>
            <a:ext uri="{FF2B5EF4-FFF2-40B4-BE49-F238E27FC236}">
              <a16:creationId xmlns:a16="http://schemas.microsoft.com/office/drawing/2014/main" id="{00000000-0008-0000-0000-0000D8000000}"/>
            </a:ext>
          </a:extLst>
        </xdr:cNvPr>
        <xdr:cNvPicPr>
          <a:picLocks noChangeAspect="1"/>
        </xdr:cNvPicPr>
      </xdr:nvPicPr>
      <xdr:blipFill>
        <a:blip xmlns:r="http://schemas.openxmlformats.org/officeDocument/2006/relationships" r:embed="rId201"/>
        <a:stretch>
          <a:fillRect/>
        </a:stretch>
      </xdr:blipFill>
      <xdr:spPr>
        <a:xfrm>
          <a:off x="0" y="0"/>
          <a:ext cx="0" cy="0"/>
        </a:xfrm>
        <a:prstGeom prst="rect">
          <a:avLst/>
        </a:prstGeom>
      </xdr:spPr>
    </xdr:pic>
    <xdr:clientData/>
  </xdr:oneCellAnchor>
  <xdr:oneCellAnchor>
    <xdr:from>
      <xdr:col>87</xdr:col>
      <xdr:colOff>9525</xdr:colOff>
      <xdr:row>228</xdr:row>
      <xdr:rowOff>9525</xdr:rowOff>
    </xdr:from>
    <xdr:ext cx="1905000" cy="1905000"/>
    <xdr:pic>
      <xdr:nvPicPr>
        <xdr:cNvPr id="217" name="First Page Clipping" descr="First Page Clipping">
          <a:extLst>
            <a:ext uri="{FF2B5EF4-FFF2-40B4-BE49-F238E27FC236}">
              <a16:creationId xmlns:a16="http://schemas.microsoft.com/office/drawing/2014/main" id="{00000000-0008-0000-0000-0000D9000000}"/>
            </a:ext>
          </a:extLst>
        </xdr:cNvPr>
        <xdr:cNvPicPr>
          <a:picLocks noChangeAspect="1"/>
        </xdr:cNvPicPr>
      </xdr:nvPicPr>
      <xdr:blipFill>
        <a:blip xmlns:r="http://schemas.openxmlformats.org/officeDocument/2006/relationships" r:embed="rId202"/>
        <a:stretch>
          <a:fillRect/>
        </a:stretch>
      </xdr:blipFill>
      <xdr:spPr>
        <a:xfrm>
          <a:off x="0" y="0"/>
          <a:ext cx="0" cy="0"/>
        </a:xfrm>
        <a:prstGeom prst="rect">
          <a:avLst/>
        </a:prstGeom>
      </xdr:spPr>
    </xdr:pic>
    <xdr:clientData/>
  </xdr:oneCellAnchor>
  <xdr:oneCellAnchor>
    <xdr:from>
      <xdr:col>87</xdr:col>
      <xdr:colOff>9525</xdr:colOff>
      <xdr:row>229</xdr:row>
      <xdr:rowOff>9525</xdr:rowOff>
    </xdr:from>
    <xdr:ext cx="1905000" cy="1905000"/>
    <xdr:pic>
      <xdr:nvPicPr>
        <xdr:cNvPr id="218" name="First Page Clipping" descr="First Page Clipping">
          <a:extLst>
            <a:ext uri="{FF2B5EF4-FFF2-40B4-BE49-F238E27FC236}">
              <a16:creationId xmlns:a16="http://schemas.microsoft.com/office/drawing/2014/main" id="{00000000-0008-0000-0000-0000DA000000}"/>
            </a:ext>
          </a:extLst>
        </xdr:cNvPr>
        <xdr:cNvPicPr>
          <a:picLocks noChangeAspect="1"/>
        </xdr:cNvPicPr>
      </xdr:nvPicPr>
      <xdr:blipFill>
        <a:blip xmlns:r="http://schemas.openxmlformats.org/officeDocument/2006/relationships" r:embed="rId203"/>
        <a:stretch>
          <a:fillRect/>
        </a:stretch>
      </xdr:blipFill>
      <xdr:spPr>
        <a:xfrm>
          <a:off x="0" y="0"/>
          <a:ext cx="0" cy="0"/>
        </a:xfrm>
        <a:prstGeom prst="rect">
          <a:avLst/>
        </a:prstGeom>
      </xdr:spPr>
    </xdr:pic>
    <xdr:clientData/>
  </xdr:oneCellAnchor>
  <xdr:oneCellAnchor>
    <xdr:from>
      <xdr:col>87</xdr:col>
      <xdr:colOff>9525</xdr:colOff>
      <xdr:row>230</xdr:row>
      <xdr:rowOff>9525</xdr:rowOff>
    </xdr:from>
    <xdr:ext cx="1905000" cy="1905000"/>
    <xdr:pic>
      <xdr:nvPicPr>
        <xdr:cNvPr id="219" name="First Page Clipping" descr="First Page Clipping">
          <a:extLst>
            <a:ext uri="{FF2B5EF4-FFF2-40B4-BE49-F238E27FC236}">
              <a16:creationId xmlns:a16="http://schemas.microsoft.com/office/drawing/2014/main" id="{00000000-0008-0000-0000-0000DB000000}"/>
            </a:ext>
          </a:extLst>
        </xdr:cNvPr>
        <xdr:cNvPicPr>
          <a:picLocks noChangeAspect="1"/>
        </xdr:cNvPicPr>
      </xdr:nvPicPr>
      <xdr:blipFill>
        <a:blip xmlns:r="http://schemas.openxmlformats.org/officeDocument/2006/relationships" r:embed="rId204"/>
        <a:stretch>
          <a:fillRect/>
        </a:stretch>
      </xdr:blipFill>
      <xdr:spPr>
        <a:xfrm>
          <a:off x="0" y="0"/>
          <a:ext cx="0" cy="0"/>
        </a:xfrm>
        <a:prstGeom prst="rect">
          <a:avLst/>
        </a:prstGeom>
      </xdr:spPr>
    </xdr:pic>
    <xdr:clientData/>
  </xdr:oneCellAnchor>
  <xdr:oneCellAnchor>
    <xdr:from>
      <xdr:col>87</xdr:col>
      <xdr:colOff>9525</xdr:colOff>
      <xdr:row>231</xdr:row>
      <xdr:rowOff>9525</xdr:rowOff>
    </xdr:from>
    <xdr:ext cx="1905000" cy="1905000"/>
    <xdr:pic>
      <xdr:nvPicPr>
        <xdr:cNvPr id="220" name="First Page Clipping" descr="First Page Clipping">
          <a:extLst>
            <a:ext uri="{FF2B5EF4-FFF2-40B4-BE49-F238E27FC236}">
              <a16:creationId xmlns:a16="http://schemas.microsoft.com/office/drawing/2014/main" id="{00000000-0008-0000-0000-0000DC000000}"/>
            </a:ext>
          </a:extLst>
        </xdr:cNvPr>
        <xdr:cNvPicPr>
          <a:picLocks noChangeAspect="1"/>
        </xdr:cNvPicPr>
      </xdr:nvPicPr>
      <xdr:blipFill>
        <a:blip xmlns:r="http://schemas.openxmlformats.org/officeDocument/2006/relationships" r:embed="rId205"/>
        <a:stretch>
          <a:fillRect/>
        </a:stretch>
      </xdr:blipFill>
      <xdr:spPr>
        <a:xfrm>
          <a:off x="0" y="0"/>
          <a:ext cx="0" cy="0"/>
        </a:xfrm>
        <a:prstGeom prst="rect">
          <a:avLst/>
        </a:prstGeom>
      </xdr:spPr>
    </xdr:pic>
    <xdr:clientData/>
  </xdr:oneCellAnchor>
  <xdr:oneCellAnchor>
    <xdr:from>
      <xdr:col>87</xdr:col>
      <xdr:colOff>9525</xdr:colOff>
      <xdr:row>232</xdr:row>
      <xdr:rowOff>9525</xdr:rowOff>
    </xdr:from>
    <xdr:ext cx="1905000" cy="1905000"/>
    <xdr:pic>
      <xdr:nvPicPr>
        <xdr:cNvPr id="221" name="First Page Clipping" descr="First Page Clipping">
          <a:extLst>
            <a:ext uri="{FF2B5EF4-FFF2-40B4-BE49-F238E27FC236}">
              <a16:creationId xmlns:a16="http://schemas.microsoft.com/office/drawing/2014/main" id="{00000000-0008-0000-0000-0000DD000000}"/>
            </a:ext>
          </a:extLst>
        </xdr:cNvPr>
        <xdr:cNvPicPr>
          <a:picLocks noChangeAspect="1"/>
        </xdr:cNvPicPr>
      </xdr:nvPicPr>
      <xdr:blipFill>
        <a:blip xmlns:r="http://schemas.openxmlformats.org/officeDocument/2006/relationships" r:embed="rId162"/>
        <a:stretch>
          <a:fillRect/>
        </a:stretch>
      </xdr:blipFill>
      <xdr:spPr>
        <a:xfrm>
          <a:off x="0" y="0"/>
          <a:ext cx="0" cy="0"/>
        </a:xfrm>
        <a:prstGeom prst="rect">
          <a:avLst/>
        </a:prstGeom>
      </xdr:spPr>
    </xdr:pic>
    <xdr:clientData/>
  </xdr:oneCellAnchor>
  <xdr:oneCellAnchor>
    <xdr:from>
      <xdr:col>87</xdr:col>
      <xdr:colOff>9525</xdr:colOff>
      <xdr:row>233</xdr:row>
      <xdr:rowOff>9525</xdr:rowOff>
    </xdr:from>
    <xdr:ext cx="1905000" cy="1905000"/>
    <xdr:pic>
      <xdr:nvPicPr>
        <xdr:cNvPr id="222" name="First Page Clipping" descr="First Page Clipping">
          <a:extLst>
            <a:ext uri="{FF2B5EF4-FFF2-40B4-BE49-F238E27FC236}">
              <a16:creationId xmlns:a16="http://schemas.microsoft.com/office/drawing/2014/main" id="{00000000-0008-0000-0000-0000DE000000}"/>
            </a:ext>
          </a:extLst>
        </xdr:cNvPr>
        <xdr:cNvPicPr>
          <a:picLocks noChangeAspect="1"/>
        </xdr:cNvPicPr>
      </xdr:nvPicPr>
      <xdr:blipFill>
        <a:blip xmlns:r="http://schemas.openxmlformats.org/officeDocument/2006/relationships" r:embed="rId206"/>
        <a:stretch>
          <a:fillRect/>
        </a:stretch>
      </xdr:blipFill>
      <xdr:spPr>
        <a:xfrm>
          <a:off x="0" y="0"/>
          <a:ext cx="0" cy="0"/>
        </a:xfrm>
        <a:prstGeom prst="rect">
          <a:avLst/>
        </a:prstGeom>
      </xdr:spPr>
    </xdr:pic>
    <xdr:clientData/>
  </xdr:oneCellAnchor>
  <xdr:oneCellAnchor>
    <xdr:from>
      <xdr:col>87</xdr:col>
      <xdr:colOff>9525</xdr:colOff>
      <xdr:row>234</xdr:row>
      <xdr:rowOff>9525</xdr:rowOff>
    </xdr:from>
    <xdr:ext cx="1905000" cy="1905000"/>
    <xdr:pic>
      <xdr:nvPicPr>
        <xdr:cNvPr id="223" name="First Page Clipping" descr="First Page Clipping">
          <a:extLst>
            <a:ext uri="{FF2B5EF4-FFF2-40B4-BE49-F238E27FC236}">
              <a16:creationId xmlns:a16="http://schemas.microsoft.com/office/drawing/2014/main" id="{00000000-0008-0000-0000-0000DF000000}"/>
            </a:ext>
          </a:extLst>
        </xdr:cNvPr>
        <xdr:cNvPicPr>
          <a:picLocks noChangeAspect="1"/>
        </xdr:cNvPicPr>
      </xdr:nvPicPr>
      <xdr:blipFill>
        <a:blip xmlns:r="http://schemas.openxmlformats.org/officeDocument/2006/relationships" r:embed="rId207"/>
        <a:stretch>
          <a:fillRect/>
        </a:stretch>
      </xdr:blipFill>
      <xdr:spPr>
        <a:xfrm>
          <a:off x="0" y="0"/>
          <a:ext cx="0" cy="0"/>
        </a:xfrm>
        <a:prstGeom prst="rect">
          <a:avLst/>
        </a:prstGeom>
      </xdr:spPr>
    </xdr:pic>
    <xdr:clientData/>
  </xdr:oneCellAnchor>
  <xdr:oneCellAnchor>
    <xdr:from>
      <xdr:col>87</xdr:col>
      <xdr:colOff>9525</xdr:colOff>
      <xdr:row>235</xdr:row>
      <xdr:rowOff>9525</xdr:rowOff>
    </xdr:from>
    <xdr:ext cx="1905000" cy="1905000"/>
    <xdr:pic>
      <xdr:nvPicPr>
        <xdr:cNvPr id="224" name="First Page Clipping" descr="First Page Clipping">
          <a:extLst>
            <a:ext uri="{FF2B5EF4-FFF2-40B4-BE49-F238E27FC236}">
              <a16:creationId xmlns:a16="http://schemas.microsoft.com/office/drawing/2014/main" id="{00000000-0008-0000-0000-0000E0000000}"/>
            </a:ext>
          </a:extLst>
        </xdr:cNvPr>
        <xdr:cNvPicPr>
          <a:picLocks noChangeAspect="1"/>
        </xdr:cNvPicPr>
      </xdr:nvPicPr>
      <xdr:blipFill>
        <a:blip xmlns:r="http://schemas.openxmlformats.org/officeDocument/2006/relationships" r:embed="rId207"/>
        <a:stretch>
          <a:fillRect/>
        </a:stretch>
      </xdr:blipFill>
      <xdr:spPr>
        <a:xfrm>
          <a:off x="0" y="0"/>
          <a:ext cx="0" cy="0"/>
        </a:xfrm>
        <a:prstGeom prst="rect">
          <a:avLst/>
        </a:prstGeom>
      </xdr:spPr>
    </xdr:pic>
    <xdr:clientData/>
  </xdr:oneCellAnchor>
  <xdr:oneCellAnchor>
    <xdr:from>
      <xdr:col>87</xdr:col>
      <xdr:colOff>9525</xdr:colOff>
      <xdr:row>236</xdr:row>
      <xdr:rowOff>9525</xdr:rowOff>
    </xdr:from>
    <xdr:ext cx="1905000" cy="1905000"/>
    <xdr:pic>
      <xdr:nvPicPr>
        <xdr:cNvPr id="225" name="First Page Clipping" descr="First Page Clipping">
          <a:extLst>
            <a:ext uri="{FF2B5EF4-FFF2-40B4-BE49-F238E27FC236}">
              <a16:creationId xmlns:a16="http://schemas.microsoft.com/office/drawing/2014/main" id="{00000000-0008-0000-0000-0000E1000000}"/>
            </a:ext>
          </a:extLst>
        </xdr:cNvPr>
        <xdr:cNvPicPr>
          <a:picLocks noChangeAspect="1"/>
        </xdr:cNvPicPr>
      </xdr:nvPicPr>
      <xdr:blipFill>
        <a:blip xmlns:r="http://schemas.openxmlformats.org/officeDocument/2006/relationships" r:embed="rId208"/>
        <a:stretch>
          <a:fillRect/>
        </a:stretch>
      </xdr:blipFill>
      <xdr:spPr>
        <a:xfrm>
          <a:off x="0" y="0"/>
          <a:ext cx="0" cy="0"/>
        </a:xfrm>
        <a:prstGeom prst="rect">
          <a:avLst/>
        </a:prstGeom>
      </xdr:spPr>
    </xdr:pic>
    <xdr:clientData/>
  </xdr:oneCellAnchor>
  <xdr:oneCellAnchor>
    <xdr:from>
      <xdr:col>87</xdr:col>
      <xdr:colOff>9525</xdr:colOff>
      <xdr:row>237</xdr:row>
      <xdr:rowOff>9525</xdr:rowOff>
    </xdr:from>
    <xdr:ext cx="1905000" cy="1905000"/>
    <xdr:pic>
      <xdr:nvPicPr>
        <xdr:cNvPr id="226" name="First Page Clipping" descr="First Page Clipping">
          <a:extLst>
            <a:ext uri="{FF2B5EF4-FFF2-40B4-BE49-F238E27FC236}">
              <a16:creationId xmlns:a16="http://schemas.microsoft.com/office/drawing/2014/main" id="{00000000-0008-0000-0000-0000E2000000}"/>
            </a:ext>
          </a:extLst>
        </xdr:cNvPr>
        <xdr:cNvPicPr>
          <a:picLocks noChangeAspect="1"/>
        </xdr:cNvPicPr>
      </xdr:nvPicPr>
      <xdr:blipFill>
        <a:blip xmlns:r="http://schemas.openxmlformats.org/officeDocument/2006/relationships" r:embed="rId207"/>
        <a:stretch>
          <a:fillRect/>
        </a:stretch>
      </xdr:blipFill>
      <xdr:spPr>
        <a:xfrm>
          <a:off x="0" y="0"/>
          <a:ext cx="0" cy="0"/>
        </a:xfrm>
        <a:prstGeom prst="rect">
          <a:avLst/>
        </a:prstGeom>
      </xdr:spPr>
    </xdr:pic>
    <xdr:clientData/>
  </xdr:oneCellAnchor>
  <xdr:oneCellAnchor>
    <xdr:from>
      <xdr:col>87</xdr:col>
      <xdr:colOff>9525</xdr:colOff>
      <xdr:row>238</xdr:row>
      <xdr:rowOff>9525</xdr:rowOff>
    </xdr:from>
    <xdr:ext cx="1905000" cy="1905000"/>
    <xdr:pic>
      <xdr:nvPicPr>
        <xdr:cNvPr id="227" name="First Page Clipping" descr="First Page Clipping">
          <a:extLst>
            <a:ext uri="{FF2B5EF4-FFF2-40B4-BE49-F238E27FC236}">
              <a16:creationId xmlns:a16="http://schemas.microsoft.com/office/drawing/2014/main" id="{00000000-0008-0000-0000-0000E3000000}"/>
            </a:ext>
          </a:extLst>
        </xdr:cNvPr>
        <xdr:cNvPicPr>
          <a:picLocks noChangeAspect="1"/>
        </xdr:cNvPicPr>
      </xdr:nvPicPr>
      <xdr:blipFill>
        <a:blip xmlns:r="http://schemas.openxmlformats.org/officeDocument/2006/relationships" r:embed="rId207"/>
        <a:stretch>
          <a:fillRect/>
        </a:stretch>
      </xdr:blipFill>
      <xdr:spPr>
        <a:xfrm>
          <a:off x="0" y="0"/>
          <a:ext cx="0" cy="0"/>
        </a:xfrm>
        <a:prstGeom prst="rect">
          <a:avLst/>
        </a:prstGeom>
      </xdr:spPr>
    </xdr:pic>
    <xdr:clientData/>
  </xdr:oneCellAnchor>
  <xdr:oneCellAnchor>
    <xdr:from>
      <xdr:col>87</xdr:col>
      <xdr:colOff>9525</xdr:colOff>
      <xdr:row>239</xdr:row>
      <xdr:rowOff>9525</xdr:rowOff>
    </xdr:from>
    <xdr:ext cx="1905000" cy="1905000"/>
    <xdr:pic>
      <xdr:nvPicPr>
        <xdr:cNvPr id="228" name="First Page Clipping" descr="First Page Clipping">
          <a:extLst>
            <a:ext uri="{FF2B5EF4-FFF2-40B4-BE49-F238E27FC236}">
              <a16:creationId xmlns:a16="http://schemas.microsoft.com/office/drawing/2014/main" id="{00000000-0008-0000-0000-0000E4000000}"/>
            </a:ext>
          </a:extLst>
        </xdr:cNvPr>
        <xdr:cNvPicPr>
          <a:picLocks noChangeAspect="1"/>
        </xdr:cNvPicPr>
      </xdr:nvPicPr>
      <xdr:blipFill>
        <a:blip xmlns:r="http://schemas.openxmlformats.org/officeDocument/2006/relationships" r:embed="rId209"/>
        <a:stretch>
          <a:fillRect/>
        </a:stretch>
      </xdr:blipFill>
      <xdr:spPr>
        <a:xfrm>
          <a:off x="0" y="0"/>
          <a:ext cx="0" cy="0"/>
        </a:xfrm>
        <a:prstGeom prst="rect">
          <a:avLst/>
        </a:prstGeom>
      </xdr:spPr>
    </xdr:pic>
    <xdr:clientData/>
  </xdr:oneCellAnchor>
  <xdr:oneCellAnchor>
    <xdr:from>
      <xdr:col>87</xdr:col>
      <xdr:colOff>9525</xdr:colOff>
      <xdr:row>241</xdr:row>
      <xdr:rowOff>9525</xdr:rowOff>
    </xdr:from>
    <xdr:ext cx="1905000" cy="1905000"/>
    <xdr:pic>
      <xdr:nvPicPr>
        <xdr:cNvPr id="229" name="First Page Clipping" descr="First Page Clipping">
          <a:extLst>
            <a:ext uri="{FF2B5EF4-FFF2-40B4-BE49-F238E27FC236}">
              <a16:creationId xmlns:a16="http://schemas.microsoft.com/office/drawing/2014/main" id="{00000000-0008-0000-0000-0000E5000000}"/>
            </a:ext>
          </a:extLst>
        </xdr:cNvPr>
        <xdr:cNvPicPr>
          <a:picLocks noChangeAspect="1"/>
        </xdr:cNvPicPr>
      </xdr:nvPicPr>
      <xdr:blipFill>
        <a:blip xmlns:r="http://schemas.openxmlformats.org/officeDocument/2006/relationships" r:embed="rId210"/>
        <a:stretch>
          <a:fillRect/>
        </a:stretch>
      </xdr:blipFill>
      <xdr:spPr>
        <a:xfrm>
          <a:off x="0" y="0"/>
          <a:ext cx="0" cy="0"/>
        </a:xfrm>
        <a:prstGeom prst="rect">
          <a:avLst/>
        </a:prstGeom>
      </xdr:spPr>
    </xdr:pic>
    <xdr:clientData/>
  </xdr:oneCellAnchor>
  <xdr:oneCellAnchor>
    <xdr:from>
      <xdr:col>87</xdr:col>
      <xdr:colOff>9525</xdr:colOff>
      <xdr:row>242</xdr:row>
      <xdr:rowOff>9525</xdr:rowOff>
    </xdr:from>
    <xdr:ext cx="1905000" cy="1905000"/>
    <xdr:pic>
      <xdr:nvPicPr>
        <xdr:cNvPr id="230" name="First Page Clipping" descr="First Page Clipping">
          <a:extLst>
            <a:ext uri="{FF2B5EF4-FFF2-40B4-BE49-F238E27FC236}">
              <a16:creationId xmlns:a16="http://schemas.microsoft.com/office/drawing/2014/main" id="{00000000-0008-0000-0000-0000E6000000}"/>
            </a:ext>
          </a:extLst>
        </xdr:cNvPr>
        <xdr:cNvPicPr>
          <a:picLocks noChangeAspect="1"/>
        </xdr:cNvPicPr>
      </xdr:nvPicPr>
      <xdr:blipFill>
        <a:blip xmlns:r="http://schemas.openxmlformats.org/officeDocument/2006/relationships" r:embed="rId211"/>
        <a:stretch>
          <a:fillRect/>
        </a:stretch>
      </xdr:blipFill>
      <xdr:spPr>
        <a:xfrm>
          <a:off x="0" y="0"/>
          <a:ext cx="0" cy="0"/>
        </a:xfrm>
        <a:prstGeom prst="rect">
          <a:avLst/>
        </a:prstGeom>
      </xdr:spPr>
    </xdr:pic>
    <xdr:clientData/>
  </xdr:oneCellAnchor>
  <xdr:oneCellAnchor>
    <xdr:from>
      <xdr:col>87</xdr:col>
      <xdr:colOff>9525</xdr:colOff>
      <xdr:row>243</xdr:row>
      <xdr:rowOff>9525</xdr:rowOff>
    </xdr:from>
    <xdr:ext cx="1905000" cy="1905000"/>
    <xdr:pic>
      <xdr:nvPicPr>
        <xdr:cNvPr id="231" name="First Page Clipping" descr="First Page Clipping">
          <a:extLst>
            <a:ext uri="{FF2B5EF4-FFF2-40B4-BE49-F238E27FC236}">
              <a16:creationId xmlns:a16="http://schemas.microsoft.com/office/drawing/2014/main" id="{00000000-0008-0000-0000-0000E7000000}"/>
            </a:ext>
          </a:extLst>
        </xdr:cNvPr>
        <xdr:cNvPicPr>
          <a:picLocks noChangeAspect="1"/>
        </xdr:cNvPicPr>
      </xdr:nvPicPr>
      <xdr:blipFill>
        <a:blip xmlns:r="http://schemas.openxmlformats.org/officeDocument/2006/relationships" r:embed="rId212"/>
        <a:stretch>
          <a:fillRect/>
        </a:stretch>
      </xdr:blipFill>
      <xdr:spPr>
        <a:xfrm>
          <a:off x="0" y="0"/>
          <a:ext cx="0" cy="0"/>
        </a:xfrm>
        <a:prstGeom prst="rect">
          <a:avLst/>
        </a:prstGeom>
      </xdr:spPr>
    </xdr:pic>
    <xdr:clientData/>
  </xdr:oneCellAnchor>
  <xdr:oneCellAnchor>
    <xdr:from>
      <xdr:col>87</xdr:col>
      <xdr:colOff>9525</xdr:colOff>
      <xdr:row>244</xdr:row>
      <xdr:rowOff>9525</xdr:rowOff>
    </xdr:from>
    <xdr:ext cx="1905000" cy="1905000"/>
    <xdr:pic>
      <xdr:nvPicPr>
        <xdr:cNvPr id="232" name="First Page Clipping" descr="First Page Clipping">
          <a:extLst>
            <a:ext uri="{FF2B5EF4-FFF2-40B4-BE49-F238E27FC236}">
              <a16:creationId xmlns:a16="http://schemas.microsoft.com/office/drawing/2014/main" id="{00000000-0008-0000-0000-0000E8000000}"/>
            </a:ext>
          </a:extLst>
        </xdr:cNvPr>
        <xdr:cNvPicPr>
          <a:picLocks noChangeAspect="1"/>
        </xdr:cNvPicPr>
      </xdr:nvPicPr>
      <xdr:blipFill>
        <a:blip xmlns:r="http://schemas.openxmlformats.org/officeDocument/2006/relationships" r:embed="rId213"/>
        <a:stretch>
          <a:fillRect/>
        </a:stretch>
      </xdr:blipFill>
      <xdr:spPr>
        <a:xfrm>
          <a:off x="0" y="0"/>
          <a:ext cx="0" cy="0"/>
        </a:xfrm>
        <a:prstGeom prst="rect">
          <a:avLst/>
        </a:prstGeom>
      </xdr:spPr>
    </xdr:pic>
    <xdr:clientData/>
  </xdr:oneCellAnchor>
  <xdr:oneCellAnchor>
    <xdr:from>
      <xdr:col>87</xdr:col>
      <xdr:colOff>9525</xdr:colOff>
      <xdr:row>245</xdr:row>
      <xdr:rowOff>9525</xdr:rowOff>
    </xdr:from>
    <xdr:ext cx="1905000" cy="1905000"/>
    <xdr:pic>
      <xdr:nvPicPr>
        <xdr:cNvPr id="233" name="First Page Clipping" descr="First Page Clipping">
          <a:extLst>
            <a:ext uri="{FF2B5EF4-FFF2-40B4-BE49-F238E27FC236}">
              <a16:creationId xmlns:a16="http://schemas.microsoft.com/office/drawing/2014/main" id="{00000000-0008-0000-0000-0000E9000000}"/>
            </a:ext>
          </a:extLst>
        </xdr:cNvPr>
        <xdr:cNvPicPr>
          <a:picLocks noChangeAspect="1"/>
        </xdr:cNvPicPr>
      </xdr:nvPicPr>
      <xdr:blipFill>
        <a:blip xmlns:r="http://schemas.openxmlformats.org/officeDocument/2006/relationships" r:embed="rId214"/>
        <a:stretch>
          <a:fillRect/>
        </a:stretch>
      </xdr:blipFill>
      <xdr:spPr>
        <a:xfrm>
          <a:off x="0" y="0"/>
          <a:ext cx="0" cy="0"/>
        </a:xfrm>
        <a:prstGeom prst="rect">
          <a:avLst/>
        </a:prstGeom>
      </xdr:spPr>
    </xdr:pic>
    <xdr:clientData/>
  </xdr:oneCellAnchor>
  <xdr:oneCellAnchor>
    <xdr:from>
      <xdr:col>87</xdr:col>
      <xdr:colOff>9525</xdr:colOff>
      <xdr:row>246</xdr:row>
      <xdr:rowOff>9525</xdr:rowOff>
    </xdr:from>
    <xdr:ext cx="1905000" cy="1905000"/>
    <xdr:pic>
      <xdr:nvPicPr>
        <xdr:cNvPr id="234" name="First Page Clipping" descr="First Page Clipping">
          <a:extLst>
            <a:ext uri="{FF2B5EF4-FFF2-40B4-BE49-F238E27FC236}">
              <a16:creationId xmlns:a16="http://schemas.microsoft.com/office/drawing/2014/main" id="{00000000-0008-0000-0000-0000EA000000}"/>
            </a:ext>
          </a:extLst>
        </xdr:cNvPr>
        <xdr:cNvPicPr>
          <a:picLocks noChangeAspect="1"/>
        </xdr:cNvPicPr>
      </xdr:nvPicPr>
      <xdr:blipFill>
        <a:blip xmlns:r="http://schemas.openxmlformats.org/officeDocument/2006/relationships" r:embed="rId215"/>
        <a:stretch>
          <a:fillRect/>
        </a:stretch>
      </xdr:blipFill>
      <xdr:spPr>
        <a:xfrm>
          <a:off x="0" y="0"/>
          <a:ext cx="0" cy="0"/>
        </a:xfrm>
        <a:prstGeom prst="rect">
          <a:avLst/>
        </a:prstGeom>
      </xdr:spPr>
    </xdr:pic>
    <xdr:clientData/>
  </xdr:oneCellAnchor>
  <xdr:oneCellAnchor>
    <xdr:from>
      <xdr:col>87</xdr:col>
      <xdr:colOff>9525</xdr:colOff>
      <xdr:row>247</xdr:row>
      <xdr:rowOff>9525</xdr:rowOff>
    </xdr:from>
    <xdr:ext cx="1905000" cy="1905000"/>
    <xdr:pic>
      <xdr:nvPicPr>
        <xdr:cNvPr id="235" name="First Page Clipping" descr="First Page Clipping">
          <a:extLst>
            <a:ext uri="{FF2B5EF4-FFF2-40B4-BE49-F238E27FC236}">
              <a16:creationId xmlns:a16="http://schemas.microsoft.com/office/drawing/2014/main" id="{00000000-0008-0000-0000-0000EB000000}"/>
            </a:ext>
          </a:extLst>
        </xdr:cNvPr>
        <xdr:cNvPicPr>
          <a:picLocks noChangeAspect="1"/>
        </xdr:cNvPicPr>
      </xdr:nvPicPr>
      <xdr:blipFill>
        <a:blip xmlns:r="http://schemas.openxmlformats.org/officeDocument/2006/relationships" r:embed="rId216"/>
        <a:stretch>
          <a:fillRect/>
        </a:stretch>
      </xdr:blipFill>
      <xdr:spPr>
        <a:xfrm>
          <a:off x="0" y="0"/>
          <a:ext cx="0" cy="0"/>
        </a:xfrm>
        <a:prstGeom prst="rect">
          <a:avLst/>
        </a:prstGeom>
      </xdr:spPr>
    </xdr:pic>
    <xdr:clientData/>
  </xdr:oneCellAnchor>
  <xdr:oneCellAnchor>
    <xdr:from>
      <xdr:col>87</xdr:col>
      <xdr:colOff>9525</xdr:colOff>
      <xdr:row>248</xdr:row>
      <xdr:rowOff>9525</xdr:rowOff>
    </xdr:from>
    <xdr:ext cx="1905000" cy="1905000"/>
    <xdr:pic>
      <xdr:nvPicPr>
        <xdr:cNvPr id="236" name="First Page Clipping" descr="First Page Clipping">
          <a:extLst>
            <a:ext uri="{FF2B5EF4-FFF2-40B4-BE49-F238E27FC236}">
              <a16:creationId xmlns:a16="http://schemas.microsoft.com/office/drawing/2014/main" id="{00000000-0008-0000-0000-0000EC000000}"/>
            </a:ext>
          </a:extLst>
        </xdr:cNvPr>
        <xdr:cNvPicPr>
          <a:picLocks noChangeAspect="1"/>
        </xdr:cNvPicPr>
      </xdr:nvPicPr>
      <xdr:blipFill>
        <a:blip xmlns:r="http://schemas.openxmlformats.org/officeDocument/2006/relationships" r:embed="rId217"/>
        <a:stretch>
          <a:fillRect/>
        </a:stretch>
      </xdr:blipFill>
      <xdr:spPr>
        <a:xfrm>
          <a:off x="0" y="0"/>
          <a:ext cx="0" cy="0"/>
        </a:xfrm>
        <a:prstGeom prst="rect">
          <a:avLst/>
        </a:prstGeom>
      </xdr:spPr>
    </xdr:pic>
    <xdr:clientData/>
  </xdr:oneCellAnchor>
  <xdr:oneCellAnchor>
    <xdr:from>
      <xdr:col>87</xdr:col>
      <xdr:colOff>9525</xdr:colOff>
      <xdr:row>249</xdr:row>
      <xdr:rowOff>9525</xdr:rowOff>
    </xdr:from>
    <xdr:ext cx="1905000" cy="1905000"/>
    <xdr:pic>
      <xdr:nvPicPr>
        <xdr:cNvPr id="237" name="First Page Clipping" descr="First Page Clipping">
          <a:extLst>
            <a:ext uri="{FF2B5EF4-FFF2-40B4-BE49-F238E27FC236}">
              <a16:creationId xmlns:a16="http://schemas.microsoft.com/office/drawing/2014/main" id="{00000000-0008-0000-0000-0000ED000000}"/>
            </a:ext>
          </a:extLst>
        </xdr:cNvPr>
        <xdr:cNvPicPr>
          <a:picLocks noChangeAspect="1"/>
        </xdr:cNvPicPr>
      </xdr:nvPicPr>
      <xdr:blipFill>
        <a:blip xmlns:r="http://schemas.openxmlformats.org/officeDocument/2006/relationships" r:embed="rId218"/>
        <a:stretch>
          <a:fillRect/>
        </a:stretch>
      </xdr:blipFill>
      <xdr:spPr>
        <a:xfrm>
          <a:off x="0" y="0"/>
          <a:ext cx="0" cy="0"/>
        </a:xfrm>
        <a:prstGeom prst="rect">
          <a:avLst/>
        </a:prstGeom>
      </xdr:spPr>
    </xdr:pic>
    <xdr:clientData/>
  </xdr:oneCellAnchor>
  <xdr:oneCellAnchor>
    <xdr:from>
      <xdr:col>87</xdr:col>
      <xdr:colOff>9525</xdr:colOff>
      <xdr:row>250</xdr:row>
      <xdr:rowOff>9525</xdr:rowOff>
    </xdr:from>
    <xdr:ext cx="1905000" cy="1905000"/>
    <xdr:pic>
      <xdr:nvPicPr>
        <xdr:cNvPr id="238" name="First Page Clipping" descr="First Page Clipping">
          <a:extLst>
            <a:ext uri="{FF2B5EF4-FFF2-40B4-BE49-F238E27FC236}">
              <a16:creationId xmlns:a16="http://schemas.microsoft.com/office/drawing/2014/main" id="{00000000-0008-0000-0000-0000EE000000}"/>
            </a:ext>
          </a:extLst>
        </xdr:cNvPr>
        <xdr:cNvPicPr>
          <a:picLocks noChangeAspect="1"/>
        </xdr:cNvPicPr>
      </xdr:nvPicPr>
      <xdr:blipFill>
        <a:blip xmlns:r="http://schemas.openxmlformats.org/officeDocument/2006/relationships" r:embed="rId219"/>
        <a:stretch>
          <a:fillRect/>
        </a:stretch>
      </xdr:blipFill>
      <xdr:spPr>
        <a:xfrm>
          <a:off x="0" y="0"/>
          <a:ext cx="0" cy="0"/>
        </a:xfrm>
        <a:prstGeom prst="rect">
          <a:avLst/>
        </a:prstGeom>
      </xdr:spPr>
    </xdr:pic>
    <xdr:clientData/>
  </xdr:oneCellAnchor>
  <xdr:oneCellAnchor>
    <xdr:from>
      <xdr:col>87</xdr:col>
      <xdr:colOff>9525</xdr:colOff>
      <xdr:row>251</xdr:row>
      <xdr:rowOff>9525</xdr:rowOff>
    </xdr:from>
    <xdr:ext cx="1905000" cy="1905000"/>
    <xdr:pic>
      <xdr:nvPicPr>
        <xdr:cNvPr id="239" name="First Page Clipping" descr="First Page Clipping">
          <a:extLst>
            <a:ext uri="{FF2B5EF4-FFF2-40B4-BE49-F238E27FC236}">
              <a16:creationId xmlns:a16="http://schemas.microsoft.com/office/drawing/2014/main" id="{00000000-0008-0000-0000-0000EF000000}"/>
            </a:ext>
          </a:extLst>
        </xdr:cNvPr>
        <xdr:cNvPicPr>
          <a:picLocks noChangeAspect="1"/>
        </xdr:cNvPicPr>
      </xdr:nvPicPr>
      <xdr:blipFill>
        <a:blip xmlns:r="http://schemas.openxmlformats.org/officeDocument/2006/relationships" r:embed="rId220"/>
        <a:stretch>
          <a:fillRect/>
        </a:stretch>
      </xdr:blipFill>
      <xdr:spPr>
        <a:xfrm>
          <a:off x="0" y="0"/>
          <a:ext cx="0" cy="0"/>
        </a:xfrm>
        <a:prstGeom prst="rect">
          <a:avLst/>
        </a:prstGeom>
      </xdr:spPr>
    </xdr:pic>
    <xdr:clientData/>
  </xdr:oneCellAnchor>
  <xdr:oneCellAnchor>
    <xdr:from>
      <xdr:col>87</xdr:col>
      <xdr:colOff>9525</xdr:colOff>
      <xdr:row>252</xdr:row>
      <xdr:rowOff>9525</xdr:rowOff>
    </xdr:from>
    <xdr:ext cx="1905000" cy="1905000"/>
    <xdr:pic>
      <xdr:nvPicPr>
        <xdr:cNvPr id="240" name="First Page Clipping" descr="First Page Clipping">
          <a:extLst>
            <a:ext uri="{FF2B5EF4-FFF2-40B4-BE49-F238E27FC236}">
              <a16:creationId xmlns:a16="http://schemas.microsoft.com/office/drawing/2014/main" id="{00000000-0008-0000-0000-0000F0000000}"/>
            </a:ext>
          </a:extLst>
        </xdr:cNvPr>
        <xdr:cNvPicPr>
          <a:picLocks noChangeAspect="1"/>
        </xdr:cNvPicPr>
      </xdr:nvPicPr>
      <xdr:blipFill>
        <a:blip xmlns:r="http://schemas.openxmlformats.org/officeDocument/2006/relationships" r:embed="rId221"/>
        <a:stretch>
          <a:fillRect/>
        </a:stretch>
      </xdr:blipFill>
      <xdr:spPr>
        <a:xfrm>
          <a:off x="0" y="0"/>
          <a:ext cx="0" cy="0"/>
        </a:xfrm>
        <a:prstGeom prst="rect">
          <a:avLst/>
        </a:prstGeom>
      </xdr:spPr>
    </xdr:pic>
    <xdr:clientData/>
  </xdr:oneCellAnchor>
  <xdr:oneCellAnchor>
    <xdr:from>
      <xdr:col>87</xdr:col>
      <xdr:colOff>9525</xdr:colOff>
      <xdr:row>253</xdr:row>
      <xdr:rowOff>9525</xdr:rowOff>
    </xdr:from>
    <xdr:ext cx="1905000" cy="1905000"/>
    <xdr:pic>
      <xdr:nvPicPr>
        <xdr:cNvPr id="241" name="First Page Clipping" descr="First Page Clipping">
          <a:extLst>
            <a:ext uri="{FF2B5EF4-FFF2-40B4-BE49-F238E27FC236}">
              <a16:creationId xmlns:a16="http://schemas.microsoft.com/office/drawing/2014/main" id="{00000000-0008-0000-0000-0000F1000000}"/>
            </a:ext>
          </a:extLst>
        </xdr:cNvPr>
        <xdr:cNvPicPr>
          <a:picLocks noChangeAspect="1"/>
        </xdr:cNvPicPr>
      </xdr:nvPicPr>
      <xdr:blipFill>
        <a:blip xmlns:r="http://schemas.openxmlformats.org/officeDocument/2006/relationships" r:embed="rId222"/>
        <a:stretch>
          <a:fillRect/>
        </a:stretch>
      </xdr:blipFill>
      <xdr:spPr>
        <a:xfrm>
          <a:off x="0" y="0"/>
          <a:ext cx="0" cy="0"/>
        </a:xfrm>
        <a:prstGeom prst="rect">
          <a:avLst/>
        </a:prstGeom>
      </xdr:spPr>
    </xdr:pic>
    <xdr:clientData/>
  </xdr:oneCellAnchor>
  <xdr:oneCellAnchor>
    <xdr:from>
      <xdr:col>87</xdr:col>
      <xdr:colOff>9525</xdr:colOff>
      <xdr:row>254</xdr:row>
      <xdr:rowOff>9525</xdr:rowOff>
    </xdr:from>
    <xdr:ext cx="1905000" cy="1905000"/>
    <xdr:pic>
      <xdr:nvPicPr>
        <xdr:cNvPr id="242" name="First Page Clipping" descr="First Page Clipping">
          <a:extLst>
            <a:ext uri="{FF2B5EF4-FFF2-40B4-BE49-F238E27FC236}">
              <a16:creationId xmlns:a16="http://schemas.microsoft.com/office/drawing/2014/main" id="{00000000-0008-0000-0000-0000F2000000}"/>
            </a:ext>
          </a:extLst>
        </xdr:cNvPr>
        <xdr:cNvPicPr>
          <a:picLocks noChangeAspect="1"/>
        </xdr:cNvPicPr>
      </xdr:nvPicPr>
      <xdr:blipFill>
        <a:blip xmlns:r="http://schemas.openxmlformats.org/officeDocument/2006/relationships" r:embed="rId223"/>
        <a:stretch>
          <a:fillRect/>
        </a:stretch>
      </xdr:blipFill>
      <xdr:spPr>
        <a:xfrm>
          <a:off x="0" y="0"/>
          <a:ext cx="0" cy="0"/>
        </a:xfrm>
        <a:prstGeom prst="rect">
          <a:avLst/>
        </a:prstGeom>
      </xdr:spPr>
    </xdr:pic>
    <xdr:clientData/>
  </xdr:oneCellAnchor>
  <xdr:oneCellAnchor>
    <xdr:from>
      <xdr:col>87</xdr:col>
      <xdr:colOff>9525</xdr:colOff>
      <xdr:row>256</xdr:row>
      <xdr:rowOff>9525</xdr:rowOff>
    </xdr:from>
    <xdr:ext cx="1905000" cy="1905000"/>
    <xdr:pic>
      <xdr:nvPicPr>
        <xdr:cNvPr id="243" name="First Page Clipping" descr="First Page Clipping">
          <a:extLst>
            <a:ext uri="{FF2B5EF4-FFF2-40B4-BE49-F238E27FC236}">
              <a16:creationId xmlns:a16="http://schemas.microsoft.com/office/drawing/2014/main" id="{00000000-0008-0000-0000-0000F3000000}"/>
            </a:ext>
          </a:extLst>
        </xdr:cNvPr>
        <xdr:cNvPicPr>
          <a:picLocks noChangeAspect="1"/>
        </xdr:cNvPicPr>
      </xdr:nvPicPr>
      <xdr:blipFill>
        <a:blip xmlns:r="http://schemas.openxmlformats.org/officeDocument/2006/relationships" r:embed="rId224"/>
        <a:stretch>
          <a:fillRect/>
        </a:stretch>
      </xdr:blipFill>
      <xdr:spPr>
        <a:xfrm>
          <a:off x="0" y="0"/>
          <a:ext cx="0" cy="0"/>
        </a:xfrm>
        <a:prstGeom prst="rect">
          <a:avLst/>
        </a:prstGeom>
      </xdr:spPr>
    </xdr:pic>
    <xdr:clientData/>
  </xdr:oneCellAnchor>
  <xdr:oneCellAnchor>
    <xdr:from>
      <xdr:col>87</xdr:col>
      <xdr:colOff>9525</xdr:colOff>
      <xdr:row>257</xdr:row>
      <xdr:rowOff>9525</xdr:rowOff>
    </xdr:from>
    <xdr:ext cx="1905000" cy="1905000"/>
    <xdr:pic>
      <xdr:nvPicPr>
        <xdr:cNvPr id="244" name="First Page Clipping" descr="First Page Clipping">
          <a:extLst>
            <a:ext uri="{FF2B5EF4-FFF2-40B4-BE49-F238E27FC236}">
              <a16:creationId xmlns:a16="http://schemas.microsoft.com/office/drawing/2014/main" id="{00000000-0008-0000-0000-0000F4000000}"/>
            </a:ext>
          </a:extLst>
        </xdr:cNvPr>
        <xdr:cNvPicPr>
          <a:picLocks noChangeAspect="1"/>
        </xdr:cNvPicPr>
      </xdr:nvPicPr>
      <xdr:blipFill>
        <a:blip xmlns:r="http://schemas.openxmlformats.org/officeDocument/2006/relationships" r:embed="rId225"/>
        <a:stretch>
          <a:fillRect/>
        </a:stretch>
      </xdr:blipFill>
      <xdr:spPr>
        <a:xfrm>
          <a:off x="0" y="0"/>
          <a:ext cx="0" cy="0"/>
        </a:xfrm>
        <a:prstGeom prst="rect">
          <a:avLst/>
        </a:prstGeom>
      </xdr:spPr>
    </xdr:pic>
    <xdr:clientData/>
  </xdr:oneCellAnchor>
  <xdr:oneCellAnchor>
    <xdr:from>
      <xdr:col>87</xdr:col>
      <xdr:colOff>9525</xdr:colOff>
      <xdr:row>258</xdr:row>
      <xdr:rowOff>9525</xdr:rowOff>
    </xdr:from>
    <xdr:ext cx="1905000" cy="1905000"/>
    <xdr:pic>
      <xdr:nvPicPr>
        <xdr:cNvPr id="245" name="First Page Clipping" descr="First Page Clipping">
          <a:extLst>
            <a:ext uri="{FF2B5EF4-FFF2-40B4-BE49-F238E27FC236}">
              <a16:creationId xmlns:a16="http://schemas.microsoft.com/office/drawing/2014/main" id="{00000000-0008-0000-0000-0000F5000000}"/>
            </a:ext>
          </a:extLst>
        </xdr:cNvPr>
        <xdr:cNvPicPr>
          <a:picLocks noChangeAspect="1"/>
        </xdr:cNvPicPr>
      </xdr:nvPicPr>
      <xdr:blipFill>
        <a:blip xmlns:r="http://schemas.openxmlformats.org/officeDocument/2006/relationships" r:embed="rId226"/>
        <a:stretch>
          <a:fillRect/>
        </a:stretch>
      </xdr:blipFill>
      <xdr:spPr>
        <a:xfrm>
          <a:off x="0" y="0"/>
          <a:ext cx="0" cy="0"/>
        </a:xfrm>
        <a:prstGeom prst="rect">
          <a:avLst/>
        </a:prstGeom>
      </xdr:spPr>
    </xdr:pic>
    <xdr:clientData/>
  </xdr:oneCellAnchor>
  <xdr:oneCellAnchor>
    <xdr:from>
      <xdr:col>87</xdr:col>
      <xdr:colOff>9525</xdr:colOff>
      <xdr:row>259</xdr:row>
      <xdr:rowOff>9525</xdr:rowOff>
    </xdr:from>
    <xdr:ext cx="1905000" cy="1905000"/>
    <xdr:pic>
      <xdr:nvPicPr>
        <xdr:cNvPr id="246" name="First Page Clipping" descr="First Page Clipping">
          <a:extLst>
            <a:ext uri="{FF2B5EF4-FFF2-40B4-BE49-F238E27FC236}">
              <a16:creationId xmlns:a16="http://schemas.microsoft.com/office/drawing/2014/main" id="{00000000-0008-0000-0000-0000F6000000}"/>
            </a:ext>
          </a:extLst>
        </xdr:cNvPr>
        <xdr:cNvPicPr>
          <a:picLocks noChangeAspect="1"/>
        </xdr:cNvPicPr>
      </xdr:nvPicPr>
      <xdr:blipFill>
        <a:blip xmlns:r="http://schemas.openxmlformats.org/officeDocument/2006/relationships" r:embed="rId227"/>
        <a:stretch>
          <a:fillRect/>
        </a:stretch>
      </xdr:blipFill>
      <xdr:spPr>
        <a:xfrm>
          <a:off x="0" y="0"/>
          <a:ext cx="0" cy="0"/>
        </a:xfrm>
        <a:prstGeom prst="rect">
          <a:avLst/>
        </a:prstGeom>
      </xdr:spPr>
    </xdr:pic>
    <xdr:clientData/>
  </xdr:oneCellAnchor>
  <xdr:oneCellAnchor>
    <xdr:from>
      <xdr:col>87</xdr:col>
      <xdr:colOff>9525</xdr:colOff>
      <xdr:row>261</xdr:row>
      <xdr:rowOff>9525</xdr:rowOff>
    </xdr:from>
    <xdr:ext cx="1905000" cy="1905000"/>
    <xdr:pic>
      <xdr:nvPicPr>
        <xdr:cNvPr id="247" name="First Page Clipping" descr="First Page Clipping">
          <a:extLst>
            <a:ext uri="{FF2B5EF4-FFF2-40B4-BE49-F238E27FC236}">
              <a16:creationId xmlns:a16="http://schemas.microsoft.com/office/drawing/2014/main" id="{00000000-0008-0000-0000-0000F7000000}"/>
            </a:ext>
          </a:extLst>
        </xdr:cNvPr>
        <xdr:cNvPicPr>
          <a:picLocks noChangeAspect="1"/>
        </xdr:cNvPicPr>
      </xdr:nvPicPr>
      <xdr:blipFill>
        <a:blip xmlns:r="http://schemas.openxmlformats.org/officeDocument/2006/relationships" r:embed="rId228"/>
        <a:stretch>
          <a:fillRect/>
        </a:stretch>
      </xdr:blipFill>
      <xdr:spPr>
        <a:xfrm>
          <a:off x="0" y="0"/>
          <a:ext cx="0" cy="0"/>
        </a:xfrm>
        <a:prstGeom prst="rect">
          <a:avLst/>
        </a:prstGeom>
      </xdr:spPr>
    </xdr:pic>
    <xdr:clientData/>
  </xdr:oneCellAnchor>
  <xdr:oneCellAnchor>
    <xdr:from>
      <xdr:col>87</xdr:col>
      <xdr:colOff>9525</xdr:colOff>
      <xdr:row>262</xdr:row>
      <xdr:rowOff>9525</xdr:rowOff>
    </xdr:from>
    <xdr:ext cx="1905000" cy="1905000"/>
    <xdr:pic>
      <xdr:nvPicPr>
        <xdr:cNvPr id="248" name="First Page Clipping" descr="First Page Clipping">
          <a:extLst>
            <a:ext uri="{FF2B5EF4-FFF2-40B4-BE49-F238E27FC236}">
              <a16:creationId xmlns:a16="http://schemas.microsoft.com/office/drawing/2014/main" id="{00000000-0008-0000-0000-0000F8000000}"/>
            </a:ext>
          </a:extLst>
        </xdr:cNvPr>
        <xdr:cNvPicPr>
          <a:picLocks noChangeAspect="1"/>
        </xdr:cNvPicPr>
      </xdr:nvPicPr>
      <xdr:blipFill>
        <a:blip xmlns:r="http://schemas.openxmlformats.org/officeDocument/2006/relationships" r:embed="rId207"/>
        <a:stretch>
          <a:fillRect/>
        </a:stretch>
      </xdr:blipFill>
      <xdr:spPr>
        <a:xfrm>
          <a:off x="0" y="0"/>
          <a:ext cx="0" cy="0"/>
        </a:xfrm>
        <a:prstGeom prst="rect">
          <a:avLst/>
        </a:prstGeom>
      </xdr:spPr>
    </xdr:pic>
    <xdr:clientData/>
  </xdr:oneCellAnchor>
  <xdr:oneCellAnchor>
    <xdr:from>
      <xdr:col>87</xdr:col>
      <xdr:colOff>9525</xdr:colOff>
      <xdr:row>263</xdr:row>
      <xdr:rowOff>9525</xdr:rowOff>
    </xdr:from>
    <xdr:ext cx="1905000" cy="1905000"/>
    <xdr:pic>
      <xdr:nvPicPr>
        <xdr:cNvPr id="249" name="First Page Clipping" descr="First Page Clipping">
          <a:extLst>
            <a:ext uri="{FF2B5EF4-FFF2-40B4-BE49-F238E27FC236}">
              <a16:creationId xmlns:a16="http://schemas.microsoft.com/office/drawing/2014/main" id="{00000000-0008-0000-0000-0000F9000000}"/>
            </a:ext>
          </a:extLst>
        </xdr:cNvPr>
        <xdr:cNvPicPr>
          <a:picLocks noChangeAspect="1"/>
        </xdr:cNvPicPr>
      </xdr:nvPicPr>
      <xdr:blipFill>
        <a:blip xmlns:r="http://schemas.openxmlformats.org/officeDocument/2006/relationships" r:embed="rId229"/>
        <a:stretch>
          <a:fillRect/>
        </a:stretch>
      </xdr:blipFill>
      <xdr:spPr>
        <a:xfrm>
          <a:off x="0" y="0"/>
          <a:ext cx="0" cy="0"/>
        </a:xfrm>
        <a:prstGeom prst="rect">
          <a:avLst/>
        </a:prstGeom>
      </xdr:spPr>
    </xdr:pic>
    <xdr:clientData/>
  </xdr:oneCellAnchor>
  <xdr:oneCellAnchor>
    <xdr:from>
      <xdr:col>87</xdr:col>
      <xdr:colOff>9525</xdr:colOff>
      <xdr:row>264</xdr:row>
      <xdr:rowOff>9525</xdr:rowOff>
    </xdr:from>
    <xdr:ext cx="1905000" cy="1905000"/>
    <xdr:pic>
      <xdr:nvPicPr>
        <xdr:cNvPr id="250" name="First Page Clipping" descr="First Page Clipping">
          <a:extLst>
            <a:ext uri="{FF2B5EF4-FFF2-40B4-BE49-F238E27FC236}">
              <a16:creationId xmlns:a16="http://schemas.microsoft.com/office/drawing/2014/main" id="{00000000-0008-0000-0000-0000FA000000}"/>
            </a:ext>
          </a:extLst>
        </xdr:cNvPr>
        <xdr:cNvPicPr>
          <a:picLocks noChangeAspect="1"/>
        </xdr:cNvPicPr>
      </xdr:nvPicPr>
      <xdr:blipFill>
        <a:blip xmlns:r="http://schemas.openxmlformats.org/officeDocument/2006/relationships" r:embed="rId230"/>
        <a:stretch>
          <a:fillRect/>
        </a:stretch>
      </xdr:blipFill>
      <xdr:spPr>
        <a:xfrm>
          <a:off x="0" y="0"/>
          <a:ext cx="0" cy="0"/>
        </a:xfrm>
        <a:prstGeom prst="rect">
          <a:avLst/>
        </a:prstGeom>
      </xdr:spPr>
    </xdr:pic>
    <xdr:clientData/>
  </xdr:oneCellAnchor>
  <xdr:oneCellAnchor>
    <xdr:from>
      <xdr:col>87</xdr:col>
      <xdr:colOff>9525</xdr:colOff>
      <xdr:row>265</xdr:row>
      <xdr:rowOff>9525</xdr:rowOff>
    </xdr:from>
    <xdr:ext cx="1905000" cy="1905000"/>
    <xdr:pic>
      <xdr:nvPicPr>
        <xdr:cNvPr id="251" name="First Page Clipping" descr="First Page Clipping">
          <a:extLst>
            <a:ext uri="{FF2B5EF4-FFF2-40B4-BE49-F238E27FC236}">
              <a16:creationId xmlns:a16="http://schemas.microsoft.com/office/drawing/2014/main" id="{00000000-0008-0000-0000-0000FB000000}"/>
            </a:ext>
          </a:extLst>
        </xdr:cNvPr>
        <xdr:cNvPicPr>
          <a:picLocks noChangeAspect="1"/>
        </xdr:cNvPicPr>
      </xdr:nvPicPr>
      <xdr:blipFill>
        <a:blip xmlns:r="http://schemas.openxmlformats.org/officeDocument/2006/relationships" r:embed="rId231"/>
        <a:stretch>
          <a:fillRect/>
        </a:stretch>
      </xdr:blipFill>
      <xdr:spPr>
        <a:xfrm>
          <a:off x="0" y="0"/>
          <a:ext cx="0" cy="0"/>
        </a:xfrm>
        <a:prstGeom prst="rect">
          <a:avLst/>
        </a:prstGeom>
      </xdr:spPr>
    </xdr:pic>
    <xdr:clientData/>
  </xdr:oneCellAnchor>
  <xdr:oneCellAnchor>
    <xdr:from>
      <xdr:col>87</xdr:col>
      <xdr:colOff>9525</xdr:colOff>
      <xdr:row>266</xdr:row>
      <xdr:rowOff>9525</xdr:rowOff>
    </xdr:from>
    <xdr:ext cx="1905000" cy="1905000"/>
    <xdr:pic>
      <xdr:nvPicPr>
        <xdr:cNvPr id="252" name="First Page Clipping" descr="First Page Clipping">
          <a:extLst>
            <a:ext uri="{FF2B5EF4-FFF2-40B4-BE49-F238E27FC236}">
              <a16:creationId xmlns:a16="http://schemas.microsoft.com/office/drawing/2014/main" id="{00000000-0008-0000-0000-0000FC000000}"/>
            </a:ext>
          </a:extLst>
        </xdr:cNvPr>
        <xdr:cNvPicPr>
          <a:picLocks noChangeAspect="1"/>
        </xdr:cNvPicPr>
      </xdr:nvPicPr>
      <xdr:blipFill>
        <a:blip xmlns:r="http://schemas.openxmlformats.org/officeDocument/2006/relationships" r:embed="rId232"/>
        <a:stretch>
          <a:fillRect/>
        </a:stretch>
      </xdr:blipFill>
      <xdr:spPr>
        <a:xfrm>
          <a:off x="0" y="0"/>
          <a:ext cx="0" cy="0"/>
        </a:xfrm>
        <a:prstGeom prst="rect">
          <a:avLst/>
        </a:prstGeom>
      </xdr:spPr>
    </xdr:pic>
    <xdr:clientData/>
  </xdr:oneCellAnchor>
  <xdr:oneCellAnchor>
    <xdr:from>
      <xdr:col>87</xdr:col>
      <xdr:colOff>9525</xdr:colOff>
      <xdr:row>267</xdr:row>
      <xdr:rowOff>9525</xdr:rowOff>
    </xdr:from>
    <xdr:ext cx="1905000" cy="1905000"/>
    <xdr:pic>
      <xdr:nvPicPr>
        <xdr:cNvPr id="253" name="First Page Clipping" descr="First Page Clipping">
          <a:extLst>
            <a:ext uri="{FF2B5EF4-FFF2-40B4-BE49-F238E27FC236}">
              <a16:creationId xmlns:a16="http://schemas.microsoft.com/office/drawing/2014/main" id="{00000000-0008-0000-0000-0000FD000000}"/>
            </a:ext>
          </a:extLst>
        </xdr:cNvPr>
        <xdr:cNvPicPr>
          <a:picLocks noChangeAspect="1"/>
        </xdr:cNvPicPr>
      </xdr:nvPicPr>
      <xdr:blipFill>
        <a:blip xmlns:r="http://schemas.openxmlformats.org/officeDocument/2006/relationships" r:embed="rId232"/>
        <a:stretch>
          <a:fillRect/>
        </a:stretch>
      </xdr:blipFill>
      <xdr:spPr>
        <a:xfrm>
          <a:off x="0" y="0"/>
          <a:ext cx="0" cy="0"/>
        </a:xfrm>
        <a:prstGeom prst="rect">
          <a:avLst/>
        </a:prstGeom>
      </xdr:spPr>
    </xdr:pic>
    <xdr:clientData/>
  </xdr:oneCellAnchor>
  <xdr:oneCellAnchor>
    <xdr:from>
      <xdr:col>87</xdr:col>
      <xdr:colOff>9525</xdr:colOff>
      <xdr:row>268</xdr:row>
      <xdr:rowOff>9525</xdr:rowOff>
    </xdr:from>
    <xdr:ext cx="1905000" cy="1905000"/>
    <xdr:pic>
      <xdr:nvPicPr>
        <xdr:cNvPr id="254" name="First Page Clipping" descr="First Page Clipping">
          <a:extLst>
            <a:ext uri="{FF2B5EF4-FFF2-40B4-BE49-F238E27FC236}">
              <a16:creationId xmlns:a16="http://schemas.microsoft.com/office/drawing/2014/main" id="{00000000-0008-0000-0000-0000FE000000}"/>
            </a:ext>
          </a:extLst>
        </xdr:cNvPr>
        <xdr:cNvPicPr>
          <a:picLocks noChangeAspect="1"/>
        </xdr:cNvPicPr>
      </xdr:nvPicPr>
      <xdr:blipFill>
        <a:blip xmlns:r="http://schemas.openxmlformats.org/officeDocument/2006/relationships" r:embed="rId233"/>
        <a:stretch>
          <a:fillRect/>
        </a:stretch>
      </xdr:blipFill>
      <xdr:spPr>
        <a:xfrm>
          <a:off x="0" y="0"/>
          <a:ext cx="0" cy="0"/>
        </a:xfrm>
        <a:prstGeom prst="rect">
          <a:avLst/>
        </a:prstGeom>
      </xdr:spPr>
    </xdr:pic>
    <xdr:clientData/>
  </xdr:oneCellAnchor>
  <xdr:oneCellAnchor>
    <xdr:from>
      <xdr:col>87</xdr:col>
      <xdr:colOff>9525</xdr:colOff>
      <xdr:row>269</xdr:row>
      <xdr:rowOff>9525</xdr:rowOff>
    </xdr:from>
    <xdr:ext cx="1905000" cy="1905000"/>
    <xdr:pic>
      <xdr:nvPicPr>
        <xdr:cNvPr id="255" name="First Page Clipping" descr="First Page Clipping">
          <a:extLst>
            <a:ext uri="{FF2B5EF4-FFF2-40B4-BE49-F238E27FC236}">
              <a16:creationId xmlns:a16="http://schemas.microsoft.com/office/drawing/2014/main" id="{00000000-0008-0000-0000-0000FF000000}"/>
            </a:ext>
          </a:extLst>
        </xdr:cNvPr>
        <xdr:cNvPicPr>
          <a:picLocks noChangeAspect="1"/>
        </xdr:cNvPicPr>
      </xdr:nvPicPr>
      <xdr:blipFill>
        <a:blip xmlns:r="http://schemas.openxmlformats.org/officeDocument/2006/relationships" r:embed="rId234"/>
        <a:stretch>
          <a:fillRect/>
        </a:stretch>
      </xdr:blipFill>
      <xdr:spPr>
        <a:xfrm>
          <a:off x="0" y="0"/>
          <a:ext cx="0" cy="0"/>
        </a:xfrm>
        <a:prstGeom prst="rect">
          <a:avLst/>
        </a:prstGeom>
      </xdr:spPr>
    </xdr:pic>
    <xdr:clientData/>
  </xdr:oneCellAnchor>
  <xdr:oneCellAnchor>
    <xdr:from>
      <xdr:col>87</xdr:col>
      <xdr:colOff>9525</xdr:colOff>
      <xdr:row>270</xdr:row>
      <xdr:rowOff>9525</xdr:rowOff>
    </xdr:from>
    <xdr:ext cx="1905000" cy="1905000"/>
    <xdr:pic>
      <xdr:nvPicPr>
        <xdr:cNvPr id="256" name="First Page Clipping" descr="First Page Clipping">
          <a:extLst>
            <a:ext uri="{FF2B5EF4-FFF2-40B4-BE49-F238E27FC236}">
              <a16:creationId xmlns:a16="http://schemas.microsoft.com/office/drawing/2014/main" id="{00000000-0008-0000-0000-000000010000}"/>
            </a:ext>
          </a:extLst>
        </xdr:cNvPr>
        <xdr:cNvPicPr>
          <a:picLocks noChangeAspect="1"/>
        </xdr:cNvPicPr>
      </xdr:nvPicPr>
      <xdr:blipFill>
        <a:blip xmlns:r="http://schemas.openxmlformats.org/officeDocument/2006/relationships" r:embed="rId235"/>
        <a:stretch>
          <a:fillRect/>
        </a:stretch>
      </xdr:blipFill>
      <xdr:spPr>
        <a:xfrm>
          <a:off x="0" y="0"/>
          <a:ext cx="0" cy="0"/>
        </a:xfrm>
        <a:prstGeom prst="rect">
          <a:avLst/>
        </a:prstGeom>
      </xdr:spPr>
    </xdr:pic>
    <xdr:clientData/>
  </xdr:oneCellAnchor>
  <xdr:oneCellAnchor>
    <xdr:from>
      <xdr:col>87</xdr:col>
      <xdr:colOff>9525</xdr:colOff>
      <xdr:row>271</xdr:row>
      <xdr:rowOff>9525</xdr:rowOff>
    </xdr:from>
    <xdr:ext cx="1905000" cy="1905000"/>
    <xdr:pic>
      <xdr:nvPicPr>
        <xdr:cNvPr id="257" name="First Page Clipping" descr="First Page Clipping">
          <a:extLst>
            <a:ext uri="{FF2B5EF4-FFF2-40B4-BE49-F238E27FC236}">
              <a16:creationId xmlns:a16="http://schemas.microsoft.com/office/drawing/2014/main" id="{00000000-0008-0000-0000-000001010000}"/>
            </a:ext>
          </a:extLst>
        </xdr:cNvPr>
        <xdr:cNvPicPr>
          <a:picLocks noChangeAspect="1"/>
        </xdr:cNvPicPr>
      </xdr:nvPicPr>
      <xdr:blipFill>
        <a:blip xmlns:r="http://schemas.openxmlformats.org/officeDocument/2006/relationships" r:embed="rId236"/>
        <a:stretch>
          <a:fillRect/>
        </a:stretch>
      </xdr:blipFill>
      <xdr:spPr>
        <a:xfrm>
          <a:off x="0" y="0"/>
          <a:ext cx="0" cy="0"/>
        </a:xfrm>
        <a:prstGeom prst="rect">
          <a:avLst/>
        </a:prstGeom>
      </xdr:spPr>
    </xdr:pic>
    <xdr:clientData/>
  </xdr:oneCellAnchor>
  <xdr:oneCellAnchor>
    <xdr:from>
      <xdr:col>87</xdr:col>
      <xdr:colOff>9525</xdr:colOff>
      <xdr:row>272</xdr:row>
      <xdr:rowOff>9525</xdr:rowOff>
    </xdr:from>
    <xdr:ext cx="1905000" cy="1905000"/>
    <xdr:pic>
      <xdr:nvPicPr>
        <xdr:cNvPr id="258" name="First Page Clipping" descr="First Page Clipping">
          <a:extLst>
            <a:ext uri="{FF2B5EF4-FFF2-40B4-BE49-F238E27FC236}">
              <a16:creationId xmlns:a16="http://schemas.microsoft.com/office/drawing/2014/main" id="{00000000-0008-0000-0000-000002010000}"/>
            </a:ext>
          </a:extLst>
        </xdr:cNvPr>
        <xdr:cNvPicPr>
          <a:picLocks noChangeAspect="1"/>
        </xdr:cNvPicPr>
      </xdr:nvPicPr>
      <xdr:blipFill>
        <a:blip xmlns:r="http://schemas.openxmlformats.org/officeDocument/2006/relationships" r:embed="rId237"/>
        <a:stretch>
          <a:fillRect/>
        </a:stretch>
      </xdr:blipFill>
      <xdr:spPr>
        <a:xfrm>
          <a:off x="0" y="0"/>
          <a:ext cx="0" cy="0"/>
        </a:xfrm>
        <a:prstGeom prst="rect">
          <a:avLst/>
        </a:prstGeom>
      </xdr:spPr>
    </xdr:pic>
    <xdr:clientData/>
  </xdr:oneCellAnchor>
  <xdr:oneCellAnchor>
    <xdr:from>
      <xdr:col>87</xdr:col>
      <xdr:colOff>9525</xdr:colOff>
      <xdr:row>273</xdr:row>
      <xdr:rowOff>9525</xdr:rowOff>
    </xdr:from>
    <xdr:ext cx="1905000" cy="1905000"/>
    <xdr:pic>
      <xdr:nvPicPr>
        <xdr:cNvPr id="259" name="First Page Clipping" descr="First Page Clipping">
          <a:extLst>
            <a:ext uri="{FF2B5EF4-FFF2-40B4-BE49-F238E27FC236}">
              <a16:creationId xmlns:a16="http://schemas.microsoft.com/office/drawing/2014/main" id="{00000000-0008-0000-0000-000003010000}"/>
            </a:ext>
          </a:extLst>
        </xdr:cNvPr>
        <xdr:cNvPicPr>
          <a:picLocks noChangeAspect="1"/>
        </xdr:cNvPicPr>
      </xdr:nvPicPr>
      <xdr:blipFill>
        <a:blip xmlns:r="http://schemas.openxmlformats.org/officeDocument/2006/relationships" r:embed="rId238"/>
        <a:stretch>
          <a:fillRect/>
        </a:stretch>
      </xdr:blipFill>
      <xdr:spPr>
        <a:xfrm>
          <a:off x="0" y="0"/>
          <a:ext cx="0" cy="0"/>
        </a:xfrm>
        <a:prstGeom prst="rect">
          <a:avLst/>
        </a:prstGeom>
      </xdr:spPr>
    </xdr:pic>
    <xdr:clientData/>
  </xdr:oneCellAnchor>
  <xdr:oneCellAnchor>
    <xdr:from>
      <xdr:col>87</xdr:col>
      <xdr:colOff>9525</xdr:colOff>
      <xdr:row>274</xdr:row>
      <xdr:rowOff>9525</xdr:rowOff>
    </xdr:from>
    <xdr:ext cx="1905000" cy="1905000"/>
    <xdr:pic>
      <xdr:nvPicPr>
        <xdr:cNvPr id="260" name="First Page Clipping" descr="First Page Clipping">
          <a:extLst>
            <a:ext uri="{FF2B5EF4-FFF2-40B4-BE49-F238E27FC236}">
              <a16:creationId xmlns:a16="http://schemas.microsoft.com/office/drawing/2014/main" id="{00000000-0008-0000-0000-000004010000}"/>
            </a:ext>
          </a:extLst>
        </xdr:cNvPr>
        <xdr:cNvPicPr>
          <a:picLocks noChangeAspect="1"/>
        </xdr:cNvPicPr>
      </xdr:nvPicPr>
      <xdr:blipFill>
        <a:blip xmlns:r="http://schemas.openxmlformats.org/officeDocument/2006/relationships" r:embed="rId239"/>
        <a:stretch>
          <a:fillRect/>
        </a:stretch>
      </xdr:blipFill>
      <xdr:spPr>
        <a:xfrm>
          <a:off x="0" y="0"/>
          <a:ext cx="0" cy="0"/>
        </a:xfrm>
        <a:prstGeom prst="rect">
          <a:avLst/>
        </a:prstGeom>
      </xdr:spPr>
    </xdr:pic>
    <xdr:clientData/>
  </xdr:oneCellAnchor>
  <xdr:oneCellAnchor>
    <xdr:from>
      <xdr:col>87</xdr:col>
      <xdr:colOff>9525</xdr:colOff>
      <xdr:row>275</xdr:row>
      <xdr:rowOff>9525</xdr:rowOff>
    </xdr:from>
    <xdr:ext cx="1905000" cy="1905000"/>
    <xdr:pic>
      <xdr:nvPicPr>
        <xdr:cNvPr id="261" name="First Page Clipping" descr="First Page Clipping">
          <a:extLst>
            <a:ext uri="{FF2B5EF4-FFF2-40B4-BE49-F238E27FC236}">
              <a16:creationId xmlns:a16="http://schemas.microsoft.com/office/drawing/2014/main" id="{00000000-0008-0000-0000-000005010000}"/>
            </a:ext>
          </a:extLst>
        </xdr:cNvPr>
        <xdr:cNvPicPr>
          <a:picLocks noChangeAspect="1"/>
        </xdr:cNvPicPr>
      </xdr:nvPicPr>
      <xdr:blipFill>
        <a:blip xmlns:r="http://schemas.openxmlformats.org/officeDocument/2006/relationships" r:embed="rId240"/>
        <a:stretch>
          <a:fillRect/>
        </a:stretch>
      </xdr:blipFill>
      <xdr:spPr>
        <a:xfrm>
          <a:off x="0" y="0"/>
          <a:ext cx="0" cy="0"/>
        </a:xfrm>
        <a:prstGeom prst="rect">
          <a:avLst/>
        </a:prstGeom>
      </xdr:spPr>
    </xdr:pic>
    <xdr:clientData/>
  </xdr:oneCellAnchor>
  <xdr:oneCellAnchor>
    <xdr:from>
      <xdr:col>87</xdr:col>
      <xdr:colOff>9525</xdr:colOff>
      <xdr:row>276</xdr:row>
      <xdr:rowOff>9525</xdr:rowOff>
    </xdr:from>
    <xdr:ext cx="1905000" cy="1905000"/>
    <xdr:pic>
      <xdr:nvPicPr>
        <xdr:cNvPr id="262" name="First Page Clipping" descr="First Page Clipping">
          <a:extLst>
            <a:ext uri="{FF2B5EF4-FFF2-40B4-BE49-F238E27FC236}">
              <a16:creationId xmlns:a16="http://schemas.microsoft.com/office/drawing/2014/main" id="{00000000-0008-0000-0000-000006010000}"/>
            </a:ext>
          </a:extLst>
        </xdr:cNvPr>
        <xdr:cNvPicPr>
          <a:picLocks noChangeAspect="1"/>
        </xdr:cNvPicPr>
      </xdr:nvPicPr>
      <xdr:blipFill>
        <a:blip xmlns:r="http://schemas.openxmlformats.org/officeDocument/2006/relationships" r:embed="rId241"/>
        <a:stretch>
          <a:fillRect/>
        </a:stretch>
      </xdr:blipFill>
      <xdr:spPr>
        <a:xfrm>
          <a:off x="0" y="0"/>
          <a:ext cx="0" cy="0"/>
        </a:xfrm>
        <a:prstGeom prst="rect">
          <a:avLst/>
        </a:prstGeom>
      </xdr:spPr>
    </xdr:pic>
    <xdr:clientData/>
  </xdr:oneCellAnchor>
  <xdr:oneCellAnchor>
    <xdr:from>
      <xdr:col>87</xdr:col>
      <xdr:colOff>9525</xdr:colOff>
      <xdr:row>277</xdr:row>
      <xdr:rowOff>9525</xdr:rowOff>
    </xdr:from>
    <xdr:ext cx="1905000" cy="1905000"/>
    <xdr:pic>
      <xdr:nvPicPr>
        <xdr:cNvPr id="263" name="First Page Clipping" descr="First Page Clipping">
          <a:extLst>
            <a:ext uri="{FF2B5EF4-FFF2-40B4-BE49-F238E27FC236}">
              <a16:creationId xmlns:a16="http://schemas.microsoft.com/office/drawing/2014/main" id="{00000000-0008-0000-0000-000007010000}"/>
            </a:ext>
          </a:extLst>
        </xdr:cNvPr>
        <xdr:cNvPicPr>
          <a:picLocks noChangeAspect="1"/>
        </xdr:cNvPicPr>
      </xdr:nvPicPr>
      <xdr:blipFill>
        <a:blip xmlns:r="http://schemas.openxmlformats.org/officeDocument/2006/relationships" r:embed="rId242"/>
        <a:stretch>
          <a:fillRect/>
        </a:stretch>
      </xdr:blipFill>
      <xdr:spPr>
        <a:xfrm>
          <a:off x="0" y="0"/>
          <a:ext cx="0" cy="0"/>
        </a:xfrm>
        <a:prstGeom prst="rect">
          <a:avLst/>
        </a:prstGeom>
      </xdr:spPr>
    </xdr:pic>
    <xdr:clientData/>
  </xdr:oneCellAnchor>
  <xdr:oneCellAnchor>
    <xdr:from>
      <xdr:col>87</xdr:col>
      <xdr:colOff>9525</xdr:colOff>
      <xdr:row>278</xdr:row>
      <xdr:rowOff>9525</xdr:rowOff>
    </xdr:from>
    <xdr:ext cx="1905000" cy="1905000"/>
    <xdr:pic>
      <xdr:nvPicPr>
        <xdr:cNvPr id="264" name="First Page Clipping" descr="First Page Clipping">
          <a:extLst>
            <a:ext uri="{FF2B5EF4-FFF2-40B4-BE49-F238E27FC236}">
              <a16:creationId xmlns:a16="http://schemas.microsoft.com/office/drawing/2014/main" id="{00000000-0008-0000-0000-000008010000}"/>
            </a:ext>
          </a:extLst>
        </xdr:cNvPr>
        <xdr:cNvPicPr>
          <a:picLocks noChangeAspect="1"/>
        </xdr:cNvPicPr>
      </xdr:nvPicPr>
      <xdr:blipFill>
        <a:blip xmlns:r="http://schemas.openxmlformats.org/officeDocument/2006/relationships" r:embed="rId243"/>
        <a:stretch>
          <a:fillRect/>
        </a:stretch>
      </xdr:blipFill>
      <xdr:spPr>
        <a:xfrm>
          <a:off x="0" y="0"/>
          <a:ext cx="0" cy="0"/>
        </a:xfrm>
        <a:prstGeom prst="rect">
          <a:avLst/>
        </a:prstGeom>
      </xdr:spPr>
    </xdr:pic>
    <xdr:clientData/>
  </xdr:oneCellAnchor>
  <xdr:oneCellAnchor>
    <xdr:from>
      <xdr:col>87</xdr:col>
      <xdr:colOff>9525</xdr:colOff>
      <xdr:row>279</xdr:row>
      <xdr:rowOff>9525</xdr:rowOff>
    </xdr:from>
    <xdr:ext cx="1905000" cy="1905000"/>
    <xdr:pic>
      <xdr:nvPicPr>
        <xdr:cNvPr id="265" name="First Page Clipping" descr="First Page Clipping">
          <a:extLst>
            <a:ext uri="{FF2B5EF4-FFF2-40B4-BE49-F238E27FC236}">
              <a16:creationId xmlns:a16="http://schemas.microsoft.com/office/drawing/2014/main" id="{00000000-0008-0000-0000-000009010000}"/>
            </a:ext>
          </a:extLst>
        </xdr:cNvPr>
        <xdr:cNvPicPr>
          <a:picLocks noChangeAspect="1"/>
        </xdr:cNvPicPr>
      </xdr:nvPicPr>
      <xdr:blipFill>
        <a:blip xmlns:r="http://schemas.openxmlformats.org/officeDocument/2006/relationships" r:embed="rId244"/>
        <a:stretch>
          <a:fillRect/>
        </a:stretch>
      </xdr:blipFill>
      <xdr:spPr>
        <a:xfrm>
          <a:off x="0" y="0"/>
          <a:ext cx="0" cy="0"/>
        </a:xfrm>
        <a:prstGeom prst="rect">
          <a:avLst/>
        </a:prstGeom>
      </xdr:spPr>
    </xdr:pic>
    <xdr:clientData/>
  </xdr:oneCellAnchor>
  <xdr:oneCellAnchor>
    <xdr:from>
      <xdr:col>87</xdr:col>
      <xdr:colOff>9525</xdr:colOff>
      <xdr:row>280</xdr:row>
      <xdr:rowOff>9525</xdr:rowOff>
    </xdr:from>
    <xdr:ext cx="1905000" cy="1905000"/>
    <xdr:pic>
      <xdr:nvPicPr>
        <xdr:cNvPr id="266" name="First Page Clipping" descr="First Page Clipping">
          <a:extLst>
            <a:ext uri="{FF2B5EF4-FFF2-40B4-BE49-F238E27FC236}">
              <a16:creationId xmlns:a16="http://schemas.microsoft.com/office/drawing/2014/main" id="{00000000-0008-0000-0000-00000A010000}"/>
            </a:ext>
          </a:extLst>
        </xdr:cNvPr>
        <xdr:cNvPicPr>
          <a:picLocks noChangeAspect="1"/>
        </xdr:cNvPicPr>
      </xdr:nvPicPr>
      <xdr:blipFill>
        <a:blip xmlns:r="http://schemas.openxmlformats.org/officeDocument/2006/relationships" r:embed="rId245"/>
        <a:stretch>
          <a:fillRect/>
        </a:stretch>
      </xdr:blipFill>
      <xdr:spPr>
        <a:xfrm>
          <a:off x="0" y="0"/>
          <a:ext cx="0" cy="0"/>
        </a:xfrm>
        <a:prstGeom prst="rect">
          <a:avLst/>
        </a:prstGeom>
      </xdr:spPr>
    </xdr:pic>
    <xdr:clientData/>
  </xdr:oneCellAnchor>
  <xdr:oneCellAnchor>
    <xdr:from>
      <xdr:col>87</xdr:col>
      <xdr:colOff>9525</xdr:colOff>
      <xdr:row>281</xdr:row>
      <xdr:rowOff>9525</xdr:rowOff>
    </xdr:from>
    <xdr:ext cx="1905000" cy="1905000"/>
    <xdr:pic>
      <xdr:nvPicPr>
        <xdr:cNvPr id="267" name="First Page Clipping" descr="First Page Clipping">
          <a:extLst>
            <a:ext uri="{FF2B5EF4-FFF2-40B4-BE49-F238E27FC236}">
              <a16:creationId xmlns:a16="http://schemas.microsoft.com/office/drawing/2014/main" id="{00000000-0008-0000-0000-00000B010000}"/>
            </a:ext>
          </a:extLst>
        </xdr:cNvPr>
        <xdr:cNvPicPr>
          <a:picLocks noChangeAspect="1"/>
        </xdr:cNvPicPr>
      </xdr:nvPicPr>
      <xdr:blipFill>
        <a:blip xmlns:r="http://schemas.openxmlformats.org/officeDocument/2006/relationships" r:embed="rId246"/>
        <a:stretch>
          <a:fillRect/>
        </a:stretch>
      </xdr:blipFill>
      <xdr:spPr>
        <a:xfrm>
          <a:off x="0" y="0"/>
          <a:ext cx="0" cy="0"/>
        </a:xfrm>
        <a:prstGeom prst="rect">
          <a:avLst/>
        </a:prstGeom>
      </xdr:spPr>
    </xdr:pic>
    <xdr:clientData/>
  </xdr:oneCellAnchor>
  <xdr:oneCellAnchor>
    <xdr:from>
      <xdr:col>87</xdr:col>
      <xdr:colOff>9525</xdr:colOff>
      <xdr:row>282</xdr:row>
      <xdr:rowOff>9525</xdr:rowOff>
    </xdr:from>
    <xdr:ext cx="1905000" cy="1905000"/>
    <xdr:pic>
      <xdr:nvPicPr>
        <xdr:cNvPr id="268" name="First Page Clipping" descr="First Page Clipping">
          <a:extLst>
            <a:ext uri="{FF2B5EF4-FFF2-40B4-BE49-F238E27FC236}">
              <a16:creationId xmlns:a16="http://schemas.microsoft.com/office/drawing/2014/main" id="{00000000-0008-0000-0000-00000C010000}"/>
            </a:ext>
          </a:extLst>
        </xdr:cNvPr>
        <xdr:cNvPicPr>
          <a:picLocks noChangeAspect="1"/>
        </xdr:cNvPicPr>
      </xdr:nvPicPr>
      <xdr:blipFill>
        <a:blip xmlns:r="http://schemas.openxmlformats.org/officeDocument/2006/relationships" r:embed="rId247"/>
        <a:stretch>
          <a:fillRect/>
        </a:stretch>
      </xdr:blipFill>
      <xdr:spPr>
        <a:xfrm>
          <a:off x="0" y="0"/>
          <a:ext cx="0" cy="0"/>
        </a:xfrm>
        <a:prstGeom prst="rect">
          <a:avLst/>
        </a:prstGeom>
      </xdr:spPr>
    </xdr:pic>
    <xdr:clientData/>
  </xdr:oneCellAnchor>
  <xdr:oneCellAnchor>
    <xdr:from>
      <xdr:col>87</xdr:col>
      <xdr:colOff>9525</xdr:colOff>
      <xdr:row>283</xdr:row>
      <xdr:rowOff>9525</xdr:rowOff>
    </xdr:from>
    <xdr:ext cx="1905000" cy="1905000"/>
    <xdr:pic>
      <xdr:nvPicPr>
        <xdr:cNvPr id="269" name="First Page Clipping" descr="First Page Clipping">
          <a:extLst>
            <a:ext uri="{FF2B5EF4-FFF2-40B4-BE49-F238E27FC236}">
              <a16:creationId xmlns:a16="http://schemas.microsoft.com/office/drawing/2014/main" id="{00000000-0008-0000-0000-00000D010000}"/>
            </a:ext>
          </a:extLst>
        </xdr:cNvPr>
        <xdr:cNvPicPr>
          <a:picLocks noChangeAspect="1"/>
        </xdr:cNvPicPr>
      </xdr:nvPicPr>
      <xdr:blipFill>
        <a:blip xmlns:r="http://schemas.openxmlformats.org/officeDocument/2006/relationships" r:embed="rId248"/>
        <a:stretch>
          <a:fillRect/>
        </a:stretch>
      </xdr:blipFill>
      <xdr:spPr>
        <a:xfrm>
          <a:off x="0" y="0"/>
          <a:ext cx="0" cy="0"/>
        </a:xfrm>
        <a:prstGeom prst="rect">
          <a:avLst/>
        </a:prstGeom>
      </xdr:spPr>
    </xdr:pic>
    <xdr:clientData/>
  </xdr:oneCellAnchor>
  <xdr:oneCellAnchor>
    <xdr:from>
      <xdr:col>87</xdr:col>
      <xdr:colOff>9525</xdr:colOff>
      <xdr:row>284</xdr:row>
      <xdr:rowOff>9525</xdr:rowOff>
    </xdr:from>
    <xdr:ext cx="1905000" cy="1905000"/>
    <xdr:pic>
      <xdr:nvPicPr>
        <xdr:cNvPr id="270" name="First Page Clipping" descr="First Page Clipping">
          <a:extLst>
            <a:ext uri="{FF2B5EF4-FFF2-40B4-BE49-F238E27FC236}">
              <a16:creationId xmlns:a16="http://schemas.microsoft.com/office/drawing/2014/main" id="{00000000-0008-0000-0000-00000E010000}"/>
            </a:ext>
          </a:extLst>
        </xdr:cNvPr>
        <xdr:cNvPicPr>
          <a:picLocks noChangeAspect="1"/>
        </xdr:cNvPicPr>
      </xdr:nvPicPr>
      <xdr:blipFill>
        <a:blip xmlns:r="http://schemas.openxmlformats.org/officeDocument/2006/relationships" r:embed="rId249"/>
        <a:stretch>
          <a:fillRect/>
        </a:stretch>
      </xdr:blipFill>
      <xdr:spPr>
        <a:xfrm>
          <a:off x="0" y="0"/>
          <a:ext cx="0" cy="0"/>
        </a:xfrm>
        <a:prstGeom prst="rect">
          <a:avLst/>
        </a:prstGeom>
      </xdr:spPr>
    </xdr:pic>
    <xdr:clientData/>
  </xdr:oneCellAnchor>
  <xdr:oneCellAnchor>
    <xdr:from>
      <xdr:col>87</xdr:col>
      <xdr:colOff>9525</xdr:colOff>
      <xdr:row>285</xdr:row>
      <xdr:rowOff>9525</xdr:rowOff>
    </xdr:from>
    <xdr:ext cx="1905000" cy="1905000"/>
    <xdr:pic>
      <xdr:nvPicPr>
        <xdr:cNvPr id="271" name="First Page Clipping" descr="First Page Clipping">
          <a:extLst>
            <a:ext uri="{FF2B5EF4-FFF2-40B4-BE49-F238E27FC236}">
              <a16:creationId xmlns:a16="http://schemas.microsoft.com/office/drawing/2014/main" id="{00000000-0008-0000-0000-00000F010000}"/>
            </a:ext>
          </a:extLst>
        </xdr:cNvPr>
        <xdr:cNvPicPr>
          <a:picLocks noChangeAspect="1"/>
        </xdr:cNvPicPr>
      </xdr:nvPicPr>
      <xdr:blipFill>
        <a:blip xmlns:r="http://schemas.openxmlformats.org/officeDocument/2006/relationships" r:embed="rId250"/>
        <a:stretch>
          <a:fillRect/>
        </a:stretch>
      </xdr:blipFill>
      <xdr:spPr>
        <a:xfrm>
          <a:off x="0" y="0"/>
          <a:ext cx="0" cy="0"/>
        </a:xfrm>
        <a:prstGeom prst="rect">
          <a:avLst/>
        </a:prstGeom>
      </xdr:spPr>
    </xdr:pic>
    <xdr:clientData/>
  </xdr:oneCellAnchor>
  <xdr:oneCellAnchor>
    <xdr:from>
      <xdr:col>87</xdr:col>
      <xdr:colOff>9525</xdr:colOff>
      <xdr:row>286</xdr:row>
      <xdr:rowOff>9525</xdr:rowOff>
    </xdr:from>
    <xdr:ext cx="1905000" cy="1905000"/>
    <xdr:pic>
      <xdr:nvPicPr>
        <xdr:cNvPr id="272" name="First Page Clipping" descr="First Page Clipping">
          <a:extLst>
            <a:ext uri="{FF2B5EF4-FFF2-40B4-BE49-F238E27FC236}">
              <a16:creationId xmlns:a16="http://schemas.microsoft.com/office/drawing/2014/main" id="{00000000-0008-0000-0000-000010010000}"/>
            </a:ext>
          </a:extLst>
        </xdr:cNvPr>
        <xdr:cNvPicPr>
          <a:picLocks noChangeAspect="1"/>
        </xdr:cNvPicPr>
      </xdr:nvPicPr>
      <xdr:blipFill>
        <a:blip xmlns:r="http://schemas.openxmlformats.org/officeDocument/2006/relationships" r:embed="rId251"/>
        <a:stretch>
          <a:fillRect/>
        </a:stretch>
      </xdr:blipFill>
      <xdr:spPr>
        <a:xfrm>
          <a:off x="0" y="0"/>
          <a:ext cx="0" cy="0"/>
        </a:xfrm>
        <a:prstGeom prst="rect">
          <a:avLst/>
        </a:prstGeom>
      </xdr:spPr>
    </xdr:pic>
    <xdr:clientData/>
  </xdr:oneCellAnchor>
  <xdr:oneCellAnchor>
    <xdr:from>
      <xdr:col>87</xdr:col>
      <xdr:colOff>9525</xdr:colOff>
      <xdr:row>287</xdr:row>
      <xdr:rowOff>9525</xdr:rowOff>
    </xdr:from>
    <xdr:ext cx="1905000" cy="1905000"/>
    <xdr:pic>
      <xdr:nvPicPr>
        <xdr:cNvPr id="273" name="First Page Clipping" descr="First Page Clipping">
          <a:extLst>
            <a:ext uri="{FF2B5EF4-FFF2-40B4-BE49-F238E27FC236}">
              <a16:creationId xmlns:a16="http://schemas.microsoft.com/office/drawing/2014/main" id="{00000000-0008-0000-0000-000011010000}"/>
            </a:ext>
          </a:extLst>
        </xdr:cNvPr>
        <xdr:cNvPicPr>
          <a:picLocks noChangeAspect="1"/>
        </xdr:cNvPicPr>
      </xdr:nvPicPr>
      <xdr:blipFill>
        <a:blip xmlns:r="http://schemas.openxmlformats.org/officeDocument/2006/relationships" r:embed="rId252"/>
        <a:stretch>
          <a:fillRect/>
        </a:stretch>
      </xdr:blipFill>
      <xdr:spPr>
        <a:xfrm>
          <a:off x="0" y="0"/>
          <a:ext cx="0" cy="0"/>
        </a:xfrm>
        <a:prstGeom prst="rect">
          <a:avLst/>
        </a:prstGeom>
      </xdr:spPr>
    </xdr:pic>
    <xdr:clientData/>
  </xdr:oneCellAnchor>
  <xdr:oneCellAnchor>
    <xdr:from>
      <xdr:col>87</xdr:col>
      <xdr:colOff>9525</xdr:colOff>
      <xdr:row>288</xdr:row>
      <xdr:rowOff>9525</xdr:rowOff>
    </xdr:from>
    <xdr:ext cx="1905000" cy="1905000"/>
    <xdr:pic>
      <xdr:nvPicPr>
        <xdr:cNvPr id="274" name="First Page Clipping" descr="First Page Clipping">
          <a:extLst>
            <a:ext uri="{FF2B5EF4-FFF2-40B4-BE49-F238E27FC236}">
              <a16:creationId xmlns:a16="http://schemas.microsoft.com/office/drawing/2014/main" id="{00000000-0008-0000-0000-000012010000}"/>
            </a:ext>
          </a:extLst>
        </xdr:cNvPr>
        <xdr:cNvPicPr>
          <a:picLocks noChangeAspect="1"/>
        </xdr:cNvPicPr>
      </xdr:nvPicPr>
      <xdr:blipFill>
        <a:blip xmlns:r="http://schemas.openxmlformats.org/officeDocument/2006/relationships" r:embed="rId253"/>
        <a:stretch>
          <a:fillRect/>
        </a:stretch>
      </xdr:blipFill>
      <xdr:spPr>
        <a:xfrm>
          <a:off x="0" y="0"/>
          <a:ext cx="0" cy="0"/>
        </a:xfrm>
        <a:prstGeom prst="rect">
          <a:avLst/>
        </a:prstGeom>
      </xdr:spPr>
    </xdr:pic>
    <xdr:clientData/>
  </xdr:oneCellAnchor>
  <xdr:oneCellAnchor>
    <xdr:from>
      <xdr:col>87</xdr:col>
      <xdr:colOff>9525</xdr:colOff>
      <xdr:row>289</xdr:row>
      <xdr:rowOff>9525</xdr:rowOff>
    </xdr:from>
    <xdr:ext cx="1905000" cy="1905000"/>
    <xdr:pic>
      <xdr:nvPicPr>
        <xdr:cNvPr id="275" name="First Page Clipping" descr="First Page Clipping">
          <a:extLst>
            <a:ext uri="{FF2B5EF4-FFF2-40B4-BE49-F238E27FC236}">
              <a16:creationId xmlns:a16="http://schemas.microsoft.com/office/drawing/2014/main" id="{00000000-0008-0000-0000-000013010000}"/>
            </a:ext>
          </a:extLst>
        </xdr:cNvPr>
        <xdr:cNvPicPr>
          <a:picLocks noChangeAspect="1"/>
        </xdr:cNvPicPr>
      </xdr:nvPicPr>
      <xdr:blipFill>
        <a:blip xmlns:r="http://schemas.openxmlformats.org/officeDocument/2006/relationships" r:embed="rId254"/>
        <a:stretch>
          <a:fillRect/>
        </a:stretch>
      </xdr:blipFill>
      <xdr:spPr>
        <a:xfrm>
          <a:off x="0" y="0"/>
          <a:ext cx="0" cy="0"/>
        </a:xfrm>
        <a:prstGeom prst="rect">
          <a:avLst/>
        </a:prstGeom>
      </xdr:spPr>
    </xdr:pic>
    <xdr:clientData/>
  </xdr:oneCellAnchor>
  <xdr:oneCellAnchor>
    <xdr:from>
      <xdr:col>87</xdr:col>
      <xdr:colOff>9525</xdr:colOff>
      <xdr:row>290</xdr:row>
      <xdr:rowOff>9525</xdr:rowOff>
    </xdr:from>
    <xdr:ext cx="1905000" cy="1905000"/>
    <xdr:pic>
      <xdr:nvPicPr>
        <xdr:cNvPr id="276" name="First Page Clipping" descr="First Page Clipping">
          <a:extLst>
            <a:ext uri="{FF2B5EF4-FFF2-40B4-BE49-F238E27FC236}">
              <a16:creationId xmlns:a16="http://schemas.microsoft.com/office/drawing/2014/main" id="{00000000-0008-0000-0000-000014010000}"/>
            </a:ext>
          </a:extLst>
        </xdr:cNvPr>
        <xdr:cNvPicPr>
          <a:picLocks noChangeAspect="1"/>
        </xdr:cNvPicPr>
      </xdr:nvPicPr>
      <xdr:blipFill>
        <a:blip xmlns:r="http://schemas.openxmlformats.org/officeDocument/2006/relationships" r:embed="rId255"/>
        <a:stretch>
          <a:fillRect/>
        </a:stretch>
      </xdr:blipFill>
      <xdr:spPr>
        <a:xfrm>
          <a:off x="0" y="0"/>
          <a:ext cx="0" cy="0"/>
        </a:xfrm>
        <a:prstGeom prst="rect">
          <a:avLst/>
        </a:prstGeom>
      </xdr:spPr>
    </xdr:pic>
    <xdr:clientData/>
  </xdr:oneCellAnchor>
  <xdr:oneCellAnchor>
    <xdr:from>
      <xdr:col>87</xdr:col>
      <xdr:colOff>9525</xdr:colOff>
      <xdr:row>291</xdr:row>
      <xdr:rowOff>9525</xdr:rowOff>
    </xdr:from>
    <xdr:ext cx="1905000" cy="1905000"/>
    <xdr:pic>
      <xdr:nvPicPr>
        <xdr:cNvPr id="277" name="First Page Clipping" descr="First Page Clipping">
          <a:extLst>
            <a:ext uri="{FF2B5EF4-FFF2-40B4-BE49-F238E27FC236}">
              <a16:creationId xmlns:a16="http://schemas.microsoft.com/office/drawing/2014/main" id="{00000000-0008-0000-0000-000015010000}"/>
            </a:ext>
          </a:extLst>
        </xdr:cNvPr>
        <xdr:cNvPicPr>
          <a:picLocks noChangeAspect="1"/>
        </xdr:cNvPicPr>
      </xdr:nvPicPr>
      <xdr:blipFill>
        <a:blip xmlns:r="http://schemas.openxmlformats.org/officeDocument/2006/relationships" r:embed="rId256"/>
        <a:stretch>
          <a:fillRect/>
        </a:stretch>
      </xdr:blipFill>
      <xdr:spPr>
        <a:xfrm>
          <a:off x="0" y="0"/>
          <a:ext cx="0" cy="0"/>
        </a:xfrm>
        <a:prstGeom prst="rect">
          <a:avLst/>
        </a:prstGeom>
      </xdr:spPr>
    </xdr:pic>
    <xdr:clientData/>
  </xdr:oneCellAnchor>
  <xdr:oneCellAnchor>
    <xdr:from>
      <xdr:col>87</xdr:col>
      <xdr:colOff>9525</xdr:colOff>
      <xdr:row>292</xdr:row>
      <xdr:rowOff>9525</xdr:rowOff>
    </xdr:from>
    <xdr:ext cx="1905000" cy="1905000"/>
    <xdr:pic>
      <xdr:nvPicPr>
        <xdr:cNvPr id="278" name="First Page Clipping" descr="First Page Clipping">
          <a:extLst>
            <a:ext uri="{FF2B5EF4-FFF2-40B4-BE49-F238E27FC236}">
              <a16:creationId xmlns:a16="http://schemas.microsoft.com/office/drawing/2014/main" id="{00000000-0008-0000-0000-000016010000}"/>
            </a:ext>
          </a:extLst>
        </xdr:cNvPr>
        <xdr:cNvPicPr>
          <a:picLocks noChangeAspect="1"/>
        </xdr:cNvPicPr>
      </xdr:nvPicPr>
      <xdr:blipFill>
        <a:blip xmlns:r="http://schemas.openxmlformats.org/officeDocument/2006/relationships" r:embed="rId257"/>
        <a:stretch>
          <a:fillRect/>
        </a:stretch>
      </xdr:blipFill>
      <xdr:spPr>
        <a:xfrm>
          <a:off x="0" y="0"/>
          <a:ext cx="0" cy="0"/>
        </a:xfrm>
        <a:prstGeom prst="rect">
          <a:avLst/>
        </a:prstGeom>
      </xdr:spPr>
    </xdr:pic>
    <xdr:clientData/>
  </xdr:oneCellAnchor>
  <xdr:oneCellAnchor>
    <xdr:from>
      <xdr:col>87</xdr:col>
      <xdr:colOff>9525</xdr:colOff>
      <xdr:row>293</xdr:row>
      <xdr:rowOff>9525</xdr:rowOff>
    </xdr:from>
    <xdr:ext cx="1905000" cy="1905000"/>
    <xdr:pic>
      <xdr:nvPicPr>
        <xdr:cNvPr id="279" name="First Page Clipping" descr="First Page Clipping">
          <a:extLst>
            <a:ext uri="{FF2B5EF4-FFF2-40B4-BE49-F238E27FC236}">
              <a16:creationId xmlns:a16="http://schemas.microsoft.com/office/drawing/2014/main" id="{00000000-0008-0000-0000-000017010000}"/>
            </a:ext>
          </a:extLst>
        </xdr:cNvPr>
        <xdr:cNvPicPr>
          <a:picLocks noChangeAspect="1"/>
        </xdr:cNvPicPr>
      </xdr:nvPicPr>
      <xdr:blipFill>
        <a:blip xmlns:r="http://schemas.openxmlformats.org/officeDocument/2006/relationships" r:embed="rId257"/>
        <a:stretch>
          <a:fillRect/>
        </a:stretch>
      </xdr:blipFill>
      <xdr:spPr>
        <a:xfrm>
          <a:off x="0" y="0"/>
          <a:ext cx="0" cy="0"/>
        </a:xfrm>
        <a:prstGeom prst="rect">
          <a:avLst/>
        </a:prstGeom>
      </xdr:spPr>
    </xdr:pic>
    <xdr:clientData/>
  </xdr:oneCellAnchor>
  <xdr:oneCellAnchor>
    <xdr:from>
      <xdr:col>87</xdr:col>
      <xdr:colOff>9525</xdr:colOff>
      <xdr:row>294</xdr:row>
      <xdr:rowOff>9525</xdr:rowOff>
    </xdr:from>
    <xdr:ext cx="1905000" cy="1905000"/>
    <xdr:pic>
      <xdr:nvPicPr>
        <xdr:cNvPr id="280" name="First Page Clipping" descr="First Page Clipping">
          <a:extLst>
            <a:ext uri="{FF2B5EF4-FFF2-40B4-BE49-F238E27FC236}">
              <a16:creationId xmlns:a16="http://schemas.microsoft.com/office/drawing/2014/main" id="{00000000-0008-0000-0000-000018010000}"/>
            </a:ext>
          </a:extLst>
        </xdr:cNvPr>
        <xdr:cNvPicPr>
          <a:picLocks noChangeAspect="1"/>
        </xdr:cNvPicPr>
      </xdr:nvPicPr>
      <xdr:blipFill>
        <a:blip xmlns:r="http://schemas.openxmlformats.org/officeDocument/2006/relationships" r:embed="rId258"/>
        <a:stretch>
          <a:fillRect/>
        </a:stretch>
      </xdr:blipFill>
      <xdr:spPr>
        <a:xfrm>
          <a:off x="0" y="0"/>
          <a:ext cx="0" cy="0"/>
        </a:xfrm>
        <a:prstGeom prst="rect">
          <a:avLst/>
        </a:prstGeom>
      </xdr:spPr>
    </xdr:pic>
    <xdr:clientData/>
  </xdr:oneCellAnchor>
  <xdr:oneCellAnchor>
    <xdr:from>
      <xdr:col>87</xdr:col>
      <xdr:colOff>9525</xdr:colOff>
      <xdr:row>295</xdr:row>
      <xdr:rowOff>9525</xdr:rowOff>
    </xdr:from>
    <xdr:ext cx="1905000" cy="1905000"/>
    <xdr:pic>
      <xdr:nvPicPr>
        <xdr:cNvPr id="281" name="First Page Clipping" descr="First Page Clipping">
          <a:extLst>
            <a:ext uri="{FF2B5EF4-FFF2-40B4-BE49-F238E27FC236}">
              <a16:creationId xmlns:a16="http://schemas.microsoft.com/office/drawing/2014/main" id="{00000000-0008-0000-0000-000019010000}"/>
            </a:ext>
          </a:extLst>
        </xdr:cNvPr>
        <xdr:cNvPicPr>
          <a:picLocks noChangeAspect="1"/>
        </xdr:cNvPicPr>
      </xdr:nvPicPr>
      <xdr:blipFill>
        <a:blip xmlns:r="http://schemas.openxmlformats.org/officeDocument/2006/relationships" r:embed="rId259"/>
        <a:stretch>
          <a:fillRect/>
        </a:stretch>
      </xdr:blipFill>
      <xdr:spPr>
        <a:xfrm>
          <a:off x="0" y="0"/>
          <a:ext cx="0" cy="0"/>
        </a:xfrm>
        <a:prstGeom prst="rect">
          <a:avLst/>
        </a:prstGeom>
      </xdr:spPr>
    </xdr:pic>
    <xdr:clientData/>
  </xdr:oneCellAnchor>
  <xdr:oneCellAnchor>
    <xdr:from>
      <xdr:col>87</xdr:col>
      <xdr:colOff>9525</xdr:colOff>
      <xdr:row>296</xdr:row>
      <xdr:rowOff>9525</xdr:rowOff>
    </xdr:from>
    <xdr:ext cx="1905000" cy="1905000"/>
    <xdr:pic>
      <xdr:nvPicPr>
        <xdr:cNvPr id="282" name="First Page Clipping" descr="First Page Clipping">
          <a:extLst>
            <a:ext uri="{FF2B5EF4-FFF2-40B4-BE49-F238E27FC236}">
              <a16:creationId xmlns:a16="http://schemas.microsoft.com/office/drawing/2014/main" id="{00000000-0008-0000-0000-00001A010000}"/>
            </a:ext>
          </a:extLst>
        </xdr:cNvPr>
        <xdr:cNvPicPr>
          <a:picLocks noChangeAspect="1"/>
        </xdr:cNvPicPr>
      </xdr:nvPicPr>
      <xdr:blipFill>
        <a:blip xmlns:r="http://schemas.openxmlformats.org/officeDocument/2006/relationships" r:embed="rId259"/>
        <a:stretch>
          <a:fillRect/>
        </a:stretch>
      </xdr:blipFill>
      <xdr:spPr>
        <a:xfrm>
          <a:off x="0" y="0"/>
          <a:ext cx="0" cy="0"/>
        </a:xfrm>
        <a:prstGeom prst="rect">
          <a:avLst/>
        </a:prstGeom>
      </xdr:spPr>
    </xdr:pic>
    <xdr:clientData/>
  </xdr:oneCellAnchor>
  <xdr:oneCellAnchor>
    <xdr:from>
      <xdr:col>87</xdr:col>
      <xdr:colOff>9525</xdr:colOff>
      <xdr:row>297</xdr:row>
      <xdr:rowOff>9525</xdr:rowOff>
    </xdr:from>
    <xdr:ext cx="1905000" cy="1905000"/>
    <xdr:pic>
      <xdr:nvPicPr>
        <xdr:cNvPr id="283" name="First Page Clipping" descr="First Page Clipping">
          <a:extLst>
            <a:ext uri="{FF2B5EF4-FFF2-40B4-BE49-F238E27FC236}">
              <a16:creationId xmlns:a16="http://schemas.microsoft.com/office/drawing/2014/main" id="{00000000-0008-0000-0000-00001B010000}"/>
            </a:ext>
          </a:extLst>
        </xdr:cNvPr>
        <xdr:cNvPicPr>
          <a:picLocks noChangeAspect="1"/>
        </xdr:cNvPicPr>
      </xdr:nvPicPr>
      <xdr:blipFill>
        <a:blip xmlns:r="http://schemas.openxmlformats.org/officeDocument/2006/relationships" r:embed="rId260"/>
        <a:stretch>
          <a:fillRect/>
        </a:stretch>
      </xdr:blipFill>
      <xdr:spPr>
        <a:xfrm>
          <a:off x="0" y="0"/>
          <a:ext cx="0" cy="0"/>
        </a:xfrm>
        <a:prstGeom prst="rect">
          <a:avLst/>
        </a:prstGeom>
      </xdr:spPr>
    </xdr:pic>
    <xdr:clientData/>
  </xdr:oneCellAnchor>
  <xdr:oneCellAnchor>
    <xdr:from>
      <xdr:col>87</xdr:col>
      <xdr:colOff>9525</xdr:colOff>
      <xdr:row>298</xdr:row>
      <xdr:rowOff>9525</xdr:rowOff>
    </xdr:from>
    <xdr:ext cx="1905000" cy="1905000"/>
    <xdr:pic>
      <xdr:nvPicPr>
        <xdr:cNvPr id="284" name="First Page Clipping" descr="First Page Clipping">
          <a:extLst>
            <a:ext uri="{FF2B5EF4-FFF2-40B4-BE49-F238E27FC236}">
              <a16:creationId xmlns:a16="http://schemas.microsoft.com/office/drawing/2014/main" id="{00000000-0008-0000-0000-00001C010000}"/>
            </a:ext>
          </a:extLst>
        </xdr:cNvPr>
        <xdr:cNvPicPr>
          <a:picLocks noChangeAspect="1"/>
        </xdr:cNvPicPr>
      </xdr:nvPicPr>
      <xdr:blipFill>
        <a:blip xmlns:r="http://schemas.openxmlformats.org/officeDocument/2006/relationships" r:embed="rId226"/>
        <a:stretch>
          <a:fillRect/>
        </a:stretch>
      </xdr:blipFill>
      <xdr:spPr>
        <a:xfrm>
          <a:off x="0" y="0"/>
          <a:ext cx="0" cy="0"/>
        </a:xfrm>
        <a:prstGeom prst="rect">
          <a:avLst/>
        </a:prstGeom>
      </xdr:spPr>
    </xdr:pic>
    <xdr:clientData/>
  </xdr:oneCellAnchor>
  <xdr:oneCellAnchor>
    <xdr:from>
      <xdr:col>87</xdr:col>
      <xdr:colOff>9525</xdr:colOff>
      <xdr:row>299</xdr:row>
      <xdr:rowOff>9525</xdr:rowOff>
    </xdr:from>
    <xdr:ext cx="1905000" cy="1905000"/>
    <xdr:pic>
      <xdr:nvPicPr>
        <xdr:cNvPr id="285" name="First Page Clipping" descr="First Page Clipping">
          <a:extLst>
            <a:ext uri="{FF2B5EF4-FFF2-40B4-BE49-F238E27FC236}">
              <a16:creationId xmlns:a16="http://schemas.microsoft.com/office/drawing/2014/main" id="{00000000-0008-0000-0000-00001D010000}"/>
            </a:ext>
          </a:extLst>
        </xdr:cNvPr>
        <xdr:cNvPicPr>
          <a:picLocks noChangeAspect="1"/>
        </xdr:cNvPicPr>
      </xdr:nvPicPr>
      <xdr:blipFill>
        <a:blip xmlns:r="http://schemas.openxmlformats.org/officeDocument/2006/relationships" r:embed="rId261"/>
        <a:stretch>
          <a:fillRect/>
        </a:stretch>
      </xdr:blipFill>
      <xdr:spPr>
        <a:xfrm>
          <a:off x="0" y="0"/>
          <a:ext cx="0" cy="0"/>
        </a:xfrm>
        <a:prstGeom prst="rect">
          <a:avLst/>
        </a:prstGeom>
      </xdr:spPr>
    </xdr:pic>
    <xdr:clientData/>
  </xdr:oneCellAnchor>
  <xdr:oneCellAnchor>
    <xdr:from>
      <xdr:col>87</xdr:col>
      <xdr:colOff>9525</xdr:colOff>
      <xdr:row>300</xdr:row>
      <xdr:rowOff>9525</xdr:rowOff>
    </xdr:from>
    <xdr:ext cx="1905000" cy="1905000"/>
    <xdr:pic>
      <xdr:nvPicPr>
        <xdr:cNvPr id="286" name="First Page Clipping" descr="First Page Clipping">
          <a:extLst>
            <a:ext uri="{FF2B5EF4-FFF2-40B4-BE49-F238E27FC236}">
              <a16:creationId xmlns:a16="http://schemas.microsoft.com/office/drawing/2014/main" id="{00000000-0008-0000-0000-00001E010000}"/>
            </a:ext>
          </a:extLst>
        </xdr:cNvPr>
        <xdr:cNvPicPr>
          <a:picLocks noChangeAspect="1"/>
        </xdr:cNvPicPr>
      </xdr:nvPicPr>
      <xdr:blipFill>
        <a:blip xmlns:r="http://schemas.openxmlformats.org/officeDocument/2006/relationships" r:embed="rId262"/>
        <a:stretch>
          <a:fillRect/>
        </a:stretch>
      </xdr:blipFill>
      <xdr:spPr>
        <a:xfrm>
          <a:off x="0" y="0"/>
          <a:ext cx="0" cy="0"/>
        </a:xfrm>
        <a:prstGeom prst="rect">
          <a:avLst/>
        </a:prstGeom>
      </xdr:spPr>
    </xdr:pic>
    <xdr:clientData/>
  </xdr:oneCellAnchor>
  <xdr:oneCellAnchor>
    <xdr:from>
      <xdr:col>87</xdr:col>
      <xdr:colOff>9525</xdr:colOff>
      <xdr:row>301</xdr:row>
      <xdr:rowOff>9525</xdr:rowOff>
    </xdr:from>
    <xdr:ext cx="1905000" cy="1905000"/>
    <xdr:pic>
      <xdr:nvPicPr>
        <xdr:cNvPr id="287" name="First Page Clipping" descr="First Page Clipping">
          <a:extLst>
            <a:ext uri="{FF2B5EF4-FFF2-40B4-BE49-F238E27FC236}">
              <a16:creationId xmlns:a16="http://schemas.microsoft.com/office/drawing/2014/main" id="{00000000-0008-0000-0000-00001F010000}"/>
            </a:ext>
          </a:extLst>
        </xdr:cNvPr>
        <xdr:cNvPicPr>
          <a:picLocks noChangeAspect="1"/>
        </xdr:cNvPicPr>
      </xdr:nvPicPr>
      <xdr:blipFill>
        <a:blip xmlns:r="http://schemas.openxmlformats.org/officeDocument/2006/relationships" r:embed="rId263"/>
        <a:stretch>
          <a:fillRect/>
        </a:stretch>
      </xdr:blipFill>
      <xdr:spPr>
        <a:xfrm>
          <a:off x="0" y="0"/>
          <a:ext cx="0" cy="0"/>
        </a:xfrm>
        <a:prstGeom prst="rect">
          <a:avLst/>
        </a:prstGeom>
      </xdr:spPr>
    </xdr:pic>
    <xdr:clientData/>
  </xdr:oneCellAnchor>
  <xdr:oneCellAnchor>
    <xdr:from>
      <xdr:col>87</xdr:col>
      <xdr:colOff>9525</xdr:colOff>
      <xdr:row>302</xdr:row>
      <xdr:rowOff>9525</xdr:rowOff>
    </xdr:from>
    <xdr:ext cx="1905000" cy="1905000"/>
    <xdr:pic>
      <xdr:nvPicPr>
        <xdr:cNvPr id="288" name="First Page Clipping" descr="First Page Clipping">
          <a:extLst>
            <a:ext uri="{FF2B5EF4-FFF2-40B4-BE49-F238E27FC236}">
              <a16:creationId xmlns:a16="http://schemas.microsoft.com/office/drawing/2014/main" id="{00000000-0008-0000-0000-000020010000}"/>
            </a:ext>
          </a:extLst>
        </xdr:cNvPr>
        <xdr:cNvPicPr>
          <a:picLocks noChangeAspect="1"/>
        </xdr:cNvPicPr>
      </xdr:nvPicPr>
      <xdr:blipFill>
        <a:blip xmlns:r="http://schemas.openxmlformats.org/officeDocument/2006/relationships" r:embed="rId264"/>
        <a:stretch>
          <a:fillRect/>
        </a:stretch>
      </xdr:blipFill>
      <xdr:spPr>
        <a:xfrm>
          <a:off x="0" y="0"/>
          <a:ext cx="0" cy="0"/>
        </a:xfrm>
        <a:prstGeom prst="rect">
          <a:avLst/>
        </a:prstGeom>
      </xdr:spPr>
    </xdr:pic>
    <xdr:clientData/>
  </xdr:oneCellAnchor>
  <xdr:oneCellAnchor>
    <xdr:from>
      <xdr:col>87</xdr:col>
      <xdr:colOff>9525</xdr:colOff>
      <xdr:row>303</xdr:row>
      <xdr:rowOff>9525</xdr:rowOff>
    </xdr:from>
    <xdr:ext cx="1905000" cy="1905000"/>
    <xdr:pic>
      <xdr:nvPicPr>
        <xdr:cNvPr id="289" name="First Page Clipping" descr="First Page Clipping">
          <a:extLst>
            <a:ext uri="{FF2B5EF4-FFF2-40B4-BE49-F238E27FC236}">
              <a16:creationId xmlns:a16="http://schemas.microsoft.com/office/drawing/2014/main" id="{00000000-0008-0000-0000-000021010000}"/>
            </a:ext>
          </a:extLst>
        </xdr:cNvPr>
        <xdr:cNvPicPr>
          <a:picLocks noChangeAspect="1"/>
        </xdr:cNvPicPr>
      </xdr:nvPicPr>
      <xdr:blipFill>
        <a:blip xmlns:r="http://schemas.openxmlformats.org/officeDocument/2006/relationships" r:embed="rId265"/>
        <a:stretch>
          <a:fillRect/>
        </a:stretch>
      </xdr:blipFill>
      <xdr:spPr>
        <a:xfrm>
          <a:off x="0" y="0"/>
          <a:ext cx="0" cy="0"/>
        </a:xfrm>
        <a:prstGeom prst="rect">
          <a:avLst/>
        </a:prstGeom>
      </xdr:spPr>
    </xdr:pic>
    <xdr:clientData/>
  </xdr:oneCellAnchor>
  <xdr:oneCellAnchor>
    <xdr:from>
      <xdr:col>87</xdr:col>
      <xdr:colOff>9525</xdr:colOff>
      <xdr:row>304</xdr:row>
      <xdr:rowOff>9525</xdr:rowOff>
    </xdr:from>
    <xdr:ext cx="1905000" cy="1905000"/>
    <xdr:pic>
      <xdr:nvPicPr>
        <xdr:cNvPr id="290" name="First Page Clipping" descr="First Page Clipping">
          <a:extLst>
            <a:ext uri="{FF2B5EF4-FFF2-40B4-BE49-F238E27FC236}">
              <a16:creationId xmlns:a16="http://schemas.microsoft.com/office/drawing/2014/main" id="{00000000-0008-0000-0000-000022010000}"/>
            </a:ext>
          </a:extLst>
        </xdr:cNvPr>
        <xdr:cNvPicPr>
          <a:picLocks noChangeAspect="1"/>
        </xdr:cNvPicPr>
      </xdr:nvPicPr>
      <xdr:blipFill>
        <a:blip xmlns:r="http://schemas.openxmlformats.org/officeDocument/2006/relationships" r:embed="rId266"/>
        <a:stretch>
          <a:fillRect/>
        </a:stretch>
      </xdr:blipFill>
      <xdr:spPr>
        <a:xfrm>
          <a:off x="0" y="0"/>
          <a:ext cx="0" cy="0"/>
        </a:xfrm>
        <a:prstGeom prst="rect">
          <a:avLst/>
        </a:prstGeom>
      </xdr:spPr>
    </xdr:pic>
    <xdr:clientData/>
  </xdr:oneCellAnchor>
  <xdr:oneCellAnchor>
    <xdr:from>
      <xdr:col>87</xdr:col>
      <xdr:colOff>9525</xdr:colOff>
      <xdr:row>305</xdr:row>
      <xdr:rowOff>9525</xdr:rowOff>
    </xdr:from>
    <xdr:ext cx="1905000" cy="1905000"/>
    <xdr:pic>
      <xdr:nvPicPr>
        <xdr:cNvPr id="291" name="First Page Clipping" descr="First Page Clipping">
          <a:extLst>
            <a:ext uri="{FF2B5EF4-FFF2-40B4-BE49-F238E27FC236}">
              <a16:creationId xmlns:a16="http://schemas.microsoft.com/office/drawing/2014/main" id="{00000000-0008-0000-0000-000023010000}"/>
            </a:ext>
          </a:extLst>
        </xdr:cNvPr>
        <xdr:cNvPicPr>
          <a:picLocks noChangeAspect="1"/>
        </xdr:cNvPicPr>
      </xdr:nvPicPr>
      <xdr:blipFill>
        <a:blip xmlns:r="http://schemas.openxmlformats.org/officeDocument/2006/relationships" r:embed="rId267"/>
        <a:stretch>
          <a:fillRect/>
        </a:stretch>
      </xdr:blipFill>
      <xdr:spPr>
        <a:xfrm>
          <a:off x="0" y="0"/>
          <a:ext cx="0" cy="0"/>
        </a:xfrm>
        <a:prstGeom prst="rect">
          <a:avLst/>
        </a:prstGeom>
      </xdr:spPr>
    </xdr:pic>
    <xdr:clientData/>
  </xdr:oneCellAnchor>
  <xdr:oneCellAnchor>
    <xdr:from>
      <xdr:col>87</xdr:col>
      <xdr:colOff>9525</xdr:colOff>
      <xdr:row>306</xdr:row>
      <xdr:rowOff>9525</xdr:rowOff>
    </xdr:from>
    <xdr:ext cx="1905000" cy="1905000"/>
    <xdr:pic>
      <xdr:nvPicPr>
        <xdr:cNvPr id="292" name="First Page Clipping" descr="First Page Clipping">
          <a:extLst>
            <a:ext uri="{FF2B5EF4-FFF2-40B4-BE49-F238E27FC236}">
              <a16:creationId xmlns:a16="http://schemas.microsoft.com/office/drawing/2014/main" id="{00000000-0008-0000-0000-000024010000}"/>
            </a:ext>
          </a:extLst>
        </xdr:cNvPr>
        <xdr:cNvPicPr>
          <a:picLocks noChangeAspect="1"/>
        </xdr:cNvPicPr>
      </xdr:nvPicPr>
      <xdr:blipFill>
        <a:blip xmlns:r="http://schemas.openxmlformats.org/officeDocument/2006/relationships" r:embed="rId268"/>
        <a:stretch>
          <a:fillRect/>
        </a:stretch>
      </xdr:blipFill>
      <xdr:spPr>
        <a:xfrm>
          <a:off x="0" y="0"/>
          <a:ext cx="0" cy="0"/>
        </a:xfrm>
        <a:prstGeom prst="rect">
          <a:avLst/>
        </a:prstGeom>
      </xdr:spPr>
    </xdr:pic>
    <xdr:clientData/>
  </xdr:oneCellAnchor>
  <xdr:oneCellAnchor>
    <xdr:from>
      <xdr:col>87</xdr:col>
      <xdr:colOff>9525</xdr:colOff>
      <xdr:row>307</xdr:row>
      <xdr:rowOff>9525</xdr:rowOff>
    </xdr:from>
    <xdr:ext cx="1905000" cy="1905000"/>
    <xdr:pic>
      <xdr:nvPicPr>
        <xdr:cNvPr id="293" name="First Page Clipping" descr="First Page Clipping">
          <a:extLst>
            <a:ext uri="{FF2B5EF4-FFF2-40B4-BE49-F238E27FC236}">
              <a16:creationId xmlns:a16="http://schemas.microsoft.com/office/drawing/2014/main" id="{00000000-0008-0000-0000-000025010000}"/>
            </a:ext>
          </a:extLst>
        </xdr:cNvPr>
        <xdr:cNvPicPr>
          <a:picLocks noChangeAspect="1"/>
        </xdr:cNvPicPr>
      </xdr:nvPicPr>
      <xdr:blipFill>
        <a:blip xmlns:r="http://schemas.openxmlformats.org/officeDocument/2006/relationships" r:embed="rId269"/>
        <a:stretch>
          <a:fillRect/>
        </a:stretch>
      </xdr:blipFill>
      <xdr:spPr>
        <a:xfrm>
          <a:off x="0" y="0"/>
          <a:ext cx="0" cy="0"/>
        </a:xfrm>
        <a:prstGeom prst="rect">
          <a:avLst/>
        </a:prstGeom>
      </xdr:spPr>
    </xdr:pic>
    <xdr:clientData/>
  </xdr:oneCellAnchor>
  <xdr:oneCellAnchor>
    <xdr:from>
      <xdr:col>87</xdr:col>
      <xdr:colOff>9525</xdr:colOff>
      <xdr:row>308</xdr:row>
      <xdr:rowOff>9525</xdr:rowOff>
    </xdr:from>
    <xdr:ext cx="1905000" cy="1905000"/>
    <xdr:pic>
      <xdr:nvPicPr>
        <xdr:cNvPr id="294" name="First Page Clipping" descr="First Page Clipping">
          <a:extLst>
            <a:ext uri="{FF2B5EF4-FFF2-40B4-BE49-F238E27FC236}">
              <a16:creationId xmlns:a16="http://schemas.microsoft.com/office/drawing/2014/main" id="{00000000-0008-0000-0000-000026010000}"/>
            </a:ext>
          </a:extLst>
        </xdr:cNvPr>
        <xdr:cNvPicPr>
          <a:picLocks noChangeAspect="1"/>
        </xdr:cNvPicPr>
      </xdr:nvPicPr>
      <xdr:blipFill>
        <a:blip xmlns:r="http://schemas.openxmlformats.org/officeDocument/2006/relationships" r:embed="rId200"/>
        <a:stretch>
          <a:fillRect/>
        </a:stretch>
      </xdr:blipFill>
      <xdr:spPr>
        <a:xfrm>
          <a:off x="0" y="0"/>
          <a:ext cx="0" cy="0"/>
        </a:xfrm>
        <a:prstGeom prst="rect">
          <a:avLst/>
        </a:prstGeom>
      </xdr:spPr>
    </xdr:pic>
    <xdr:clientData/>
  </xdr:oneCellAnchor>
  <xdr:oneCellAnchor>
    <xdr:from>
      <xdr:col>87</xdr:col>
      <xdr:colOff>9525</xdr:colOff>
      <xdr:row>309</xdr:row>
      <xdr:rowOff>9525</xdr:rowOff>
    </xdr:from>
    <xdr:ext cx="1905000" cy="1905000"/>
    <xdr:pic>
      <xdr:nvPicPr>
        <xdr:cNvPr id="295" name="First Page Clipping" descr="First Page Clipping">
          <a:extLst>
            <a:ext uri="{FF2B5EF4-FFF2-40B4-BE49-F238E27FC236}">
              <a16:creationId xmlns:a16="http://schemas.microsoft.com/office/drawing/2014/main" id="{00000000-0008-0000-0000-000027010000}"/>
            </a:ext>
          </a:extLst>
        </xdr:cNvPr>
        <xdr:cNvPicPr>
          <a:picLocks noChangeAspect="1"/>
        </xdr:cNvPicPr>
      </xdr:nvPicPr>
      <xdr:blipFill>
        <a:blip xmlns:r="http://schemas.openxmlformats.org/officeDocument/2006/relationships" r:embed="rId270"/>
        <a:stretch>
          <a:fillRect/>
        </a:stretch>
      </xdr:blipFill>
      <xdr:spPr>
        <a:xfrm>
          <a:off x="0" y="0"/>
          <a:ext cx="0" cy="0"/>
        </a:xfrm>
        <a:prstGeom prst="rect">
          <a:avLst/>
        </a:prstGeom>
      </xdr:spPr>
    </xdr:pic>
    <xdr:clientData/>
  </xdr:oneCellAnchor>
  <xdr:oneCellAnchor>
    <xdr:from>
      <xdr:col>87</xdr:col>
      <xdr:colOff>9525</xdr:colOff>
      <xdr:row>310</xdr:row>
      <xdr:rowOff>9525</xdr:rowOff>
    </xdr:from>
    <xdr:ext cx="1905000" cy="1905000"/>
    <xdr:pic>
      <xdr:nvPicPr>
        <xdr:cNvPr id="296" name="First Page Clipping" descr="First Page Clipping">
          <a:extLst>
            <a:ext uri="{FF2B5EF4-FFF2-40B4-BE49-F238E27FC236}">
              <a16:creationId xmlns:a16="http://schemas.microsoft.com/office/drawing/2014/main" id="{00000000-0008-0000-0000-000028010000}"/>
            </a:ext>
          </a:extLst>
        </xdr:cNvPr>
        <xdr:cNvPicPr>
          <a:picLocks noChangeAspect="1"/>
        </xdr:cNvPicPr>
      </xdr:nvPicPr>
      <xdr:blipFill>
        <a:blip xmlns:r="http://schemas.openxmlformats.org/officeDocument/2006/relationships" r:embed="rId271"/>
        <a:stretch>
          <a:fillRect/>
        </a:stretch>
      </xdr:blipFill>
      <xdr:spPr>
        <a:xfrm>
          <a:off x="0" y="0"/>
          <a:ext cx="0" cy="0"/>
        </a:xfrm>
        <a:prstGeom prst="rect">
          <a:avLst/>
        </a:prstGeom>
      </xdr:spPr>
    </xdr:pic>
    <xdr:clientData/>
  </xdr:oneCellAnchor>
  <xdr:oneCellAnchor>
    <xdr:from>
      <xdr:col>87</xdr:col>
      <xdr:colOff>9525</xdr:colOff>
      <xdr:row>311</xdr:row>
      <xdr:rowOff>9525</xdr:rowOff>
    </xdr:from>
    <xdr:ext cx="1905000" cy="1905000"/>
    <xdr:pic>
      <xdr:nvPicPr>
        <xdr:cNvPr id="297" name="First Page Clipping" descr="First Page Clipping">
          <a:extLst>
            <a:ext uri="{FF2B5EF4-FFF2-40B4-BE49-F238E27FC236}">
              <a16:creationId xmlns:a16="http://schemas.microsoft.com/office/drawing/2014/main" id="{00000000-0008-0000-0000-000029010000}"/>
            </a:ext>
          </a:extLst>
        </xdr:cNvPr>
        <xdr:cNvPicPr>
          <a:picLocks noChangeAspect="1"/>
        </xdr:cNvPicPr>
      </xdr:nvPicPr>
      <xdr:blipFill>
        <a:blip xmlns:r="http://schemas.openxmlformats.org/officeDocument/2006/relationships" r:embed="rId272"/>
        <a:stretch>
          <a:fillRect/>
        </a:stretch>
      </xdr:blipFill>
      <xdr:spPr>
        <a:xfrm>
          <a:off x="0" y="0"/>
          <a:ext cx="0" cy="0"/>
        </a:xfrm>
        <a:prstGeom prst="rect">
          <a:avLst/>
        </a:prstGeom>
      </xdr:spPr>
    </xdr:pic>
    <xdr:clientData/>
  </xdr:oneCellAnchor>
  <xdr:oneCellAnchor>
    <xdr:from>
      <xdr:col>87</xdr:col>
      <xdr:colOff>9525</xdr:colOff>
      <xdr:row>312</xdr:row>
      <xdr:rowOff>9525</xdr:rowOff>
    </xdr:from>
    <xdr:ext cx="1905000" cy="1905000"/>
    <xdr:pic>
      <xdr:nvPicPr>
        <xdr:cNvPr id="298" name="First Page Clipping" descr="First Page Clipping">
          <a:extLst>
            <a:ext uri="{FF2B5EF4-FFF2-40B4-BE49-F238E27FC236}">
              <a16:creationId xmlns:a16="http://schemas.microsoft.com/office/drawing/2014/main" id="{00000000-0008-0000-0000-00002A010000}"/>
            </a:ext>
          </a:extLst>
        </xdr:cNvPr>
        <xdr:cNvPicPr>
          <a:picLocks noChangeAspect="1"/>
        </xdr:cNvPicPr>
      </xdr:nvPicPr>
      <xdr:blipFill>
        <a:blip xmlns:r="http://schemas.openxmlformats.org/officeDocument/2006/relationships" r:embed="rId273"/>
        <a:stretch>
          <a:fillRect/>
        </a:stretch>
      </xdr:blipFill>
      <xdr:spPr>
        <a:xfrm>
          <a:off x="0" y="0"/>
          <a:ext cx="0" cy="0"/>
        </a:xfrm>
        <a:prstGeom prst="rect">
          <a:avLst/>
        </a:prstGeom>
      </xdr:spPr>
    </xdr:pic>
    <xdr:clientData/>
  </xdr:oneCellAnchor>
  <xdr:oneCellAnchor>
    <xdr:from>
      <xdr:col>87</xdr:col>
      <xdr:colOff>9525</xdr:colOff>
      <xdr:row>313</xdr:row>
      <xdr:rowOff>9525</xdr:rowOff>
    </xdr:from>
    <xdr:ext cx="1905000" cy="1905000"/>
    <xdr:pic>
      <xdr:nvPicPr>
        <xdr:cNvPr id="299" name="First Page Clipping" descr="First Page Clipping">
          <a:extLst>
            <a:ext uri="{FF2B5EF4-FFF2-40B4-BE49-F238E27FC236}">
              <a16:creationId xmlns:a16="http://schemas.microsoft.com/office/drawing/2014/main" id="{00000000-0008-0000-0000-00002B010000}"/>
            </a:ext>
          </a:extLst>
        </xdr:cNvPr>
        <xdr:cNvPicPr>
          <a:picLocks noChangeAspect="1"/>
        </xdr:cNvPicPr>
      </xdr:nvPicPr>
      <xdr:blipFill>
        <a:blip xmlns:r="http://schemas.openxmlformats.org/officeDocument/2006/relationships" r:embed="rId274"/>
        <a:stretch>
          <a:fillRect/>
        </a:stretch>
      </xdr:blipFill>
      <xdr:spPr>
        <a:xfrm>
          <a:off x="0" y="0"/>
          <a:ext cx="0" cy="0"/>
        </a:xfrm>
        <a:prstGeom prst="rect">
          <a:avLst/>
        </a:prstGeom>
      </xdr:spPr>
    </xdr:pic>
    <xdr:clientData/>
  </xdr:oneCellAnchor>
  <xdr:oneCellAnchor>
    <xdr:from>
      <xdr:col>87</xdr:col>
      <xdr:colOff>9525</xdr:colOff>
      <xdr:row>314</xdr:row>
      <xdr:rowOff>9525</xdr:rowOff>
    </xdr:from>
    <xdr:ext cx="1905000" cy="1905000"/>
    <xdr:pic>
      <xdr:nvPicPr>
        <xdr:cNvPr id="300" name="First Page Clipping" descr="First Page Clipping">
          <a:extLst>
            <a:ext uri="{FF2B5EF4-FFF2-40B4-BE49-F238E27FC236}">
              <a16:creationId xmlns:a16="http://schemas.microsoft.com/office/drawing/2014/main" id="{00000000-0008-0000-0000-00002C010000}"/>
            </a:ext>
          </a:extLst>
        </xdr:cNvPr>
        <xdr:cNvPicPr>
          <a:picLocks noChangeAspect="1"/>
        </xdr:cNvPicPr>
      </xdr:nvPicPr>
      <xdr:blipFill>
        <a:blip xmlns:r="http://schemas.openxmlformats.org/officeDocument/2006/relationships" r:embed="rId275"/>
        <a:stretch>
          <a:fillRect/>
        </a:stretch>
      </xdr:blipFill>
      <xdr:spPr>
        <a:xfrm>
          <a:off x="0" y="0"/>
          <a:ext cx="0" cy="0"/>
        </a:xfrm>
        <a:prstGeom prst="rect">
          <a:avLst/>
        </a:prstGeom>
      </xdr:spPr>
    </xdr:pic>
    <xdr:clientData/>
  </xdr:oneCellAnchor>
  <xdr:oneCellAnchor>
    <xdr:from>
      <xdr:col>87</xdr:col>
      <xdr:colOff>9525</xdr:colOff>
      <xdr:row>315</xdr:row>
      <xdr:rowOff>9525</xdr:rowOff>
    </xdr:from>
    <xdr:ext cx="1905000" cy="1905000"/>
    <xdr:pic>
      <xdr:nvPicPr>
        <xdr:cNvPr id="301" name="First Page Clipping" descr="First Page Clipping">
          <a:extLst>
            <a:ext uri="{FF2B5EF4-FFF2-40B4-BE49-F238E27FC236}">
              <a16:creationId xmlns:a16="http://schemas.microsoft.com/office/drawing/2014/main" id="{00000000-0008-0000-0000-00002D010000}"/>
            </a:ext>
          </a:extLst>
        </xdr:cNvPr>
        <xdr:cNvPicPr>
          <a:picLocks noChangeAspect="1"/>
        </xdr:cNvPicPr>
      </xdr:nvPicPr>
      <xdr:blipFill>
        <a:blip xmlns:r="http://schemas.openxmlformats.org/officeDocument/2006/relationships" r:embed="rId276"/>
        <a:stretch>
          <a:fillRect/>
        </a:stretch>
      </xdr:blipFill>
      <xdr:spPr>
        <a:xfrm>
          <a:off x="0" y="0"/>
          <a:ext cx="0" cy="0"/>
        </a:xfrm>
        <a:prstGeom prst="rect">
          <a:avLst/>
        </a:prstGeom>
      </xdr:spPr>
    </xdr:pic>
    <xdr:clientData/>
  </xdr:oneCellAnchor>
  <xdr:oneCellAnchor>
    <xdr:from>
      <xdr:col>87</xdr:col>
      <xdr:colOff>9525</xdr:colOff>
      <xdr:row>316</xdr:row>
      <xdr:rowOff>9525</xdr:rowOff>
    </xdr:from>
    <xdr:ext cx="1905000" cy="1905000"/>
    <xdr:pic>
      <xdr:nvPicPr>
        <xdr:cNvPr id="302" name="First Page Clipping" descr="First Page Clipping">
          <a:extLst>
            <a:ext uri="{FF2B5EF4-FFF2-40B4-BE49-F238E27FC236}">
              <a16:creationId xmlns:a16="http://schemas.microsoft.com/office/drawing/2014/main" id="{00000000-0008-0000-0000-00002E010000}"/>
            </a:ext>
          </a:extLst>
        </xdr:cNvPr>
        <xdr:cNvPicPr>
          <a:picLocks noChangeAspect="1"/>
        </xdr:cNvPicPr>
      </xdr:nvPicPr>
      <xdr:blipFill>
        <a:blip xmlns:r="http://schemas.openxmlformats.org/officeDocument/2006/relationships" r:embed="rId277"/>
        <a:stretch>
          <a:fillRect/>
        </a:stretch>
      </xdr:blipFill>
      <xdr:spPr>
        <a:xfrm>
          <a:off x="0" y="0"/>
          <a:ext cx="0" cy="0"/>
        </a:xfrm>
        <a:prstGeom prst="rect">
          <a:avLst/>
        </a:prstGeom>
      </xdr:spPr>
    </xdr:pic>
    <xdr:clientData/>
  </xdr:oneCellAnchor>
  <xdr:oneCellAnchor>
    <xdr:from>
      <xdr:col>87</xdr:col>
      <xdr:colOff>9525</xdr:colOff>
      <xdr:row>317</xdr:row>
      <xdr:rowOff>9525</xdr:rowOff>
    </xdr:from>
    <xdr:ext cx="1905000" cy="1905000"/>
    <xdr:pic>
      <xdr:nvPicPr>
        <xdr:cNvPr id="303" name="First Page Clipping" descr="First Page Clipping">
          <a:extLst>
            <a:ext uri="{FF2B5EF4-FFF2-40B4-BE49-F238E27FC236}">
              <a16:creationId xmlns:a16="http://schemas.microsoft.com/office/drawing/2014/main" id="{00000000-0008-0000-0000-00002F010000}"/>
            </a:ext>
          </a:extLst>
        </xdr:cNvPr>
        <xdr:cNvPicPr>
          <a:picLocks noChangeAspect="1"/>
        </xdr:cNvPicPr>
      </xdr:nvPicPr>
      <xdr:blipFill>
        <a:blip xmlns:r="http://schemas.openxmlformats.org/officeDocument/2006/relationships" r:embed="rId278"/>
        <a:stretch>
          <a:fillRect/>
        </a:stretch>
      </xdr:blipFill>
      <xdr:spPr>
        <a:xfrm>
          <a:off x="0" y="0"/>
          <a:ext cx="0" cy="0"/>
        </a:xfrm>
        <a:prstGeom prst="rect">
          <a:avLst/>
        </a:prstGeom>
      </xdr:spPr>
    </xdr:pic>
    <xdr:clientData/>
  </xdr:oneCellAnchor>
  <xdr:oneCellAnchor>
    <xdr:from>
      <xdr:col>87</xdr:col>
      <xdr:colOff>9525</xdr:colOff>
      <xdr:row>318</xdr:row>
      <xdr:rowOff>9525</xdr:rowOff>
    </xdr:from>
    <xdr:ext cx="1905000" cy="1905000"/>
    <xdr:pic>
      <xdr:nvPicPr>
        <xdr:cNvPr id="304" name="First Page Clipping" descr="First Page Clipping">
          <a:extLst>
            <a:ext uri="{FF2B5EF4-FFF2-40B4-BE49-F238E27FC236}">
              <a16:creationId xmlns:a16="http://schemas.microsoft.com/office/drawing/2014/main" id="{00000000-0008-0000-0000-000030010000}"/>
            </a:ext>
          </a:extLst>
        </xdr:cNvPr>
        <xdr:cNvPicPr>
          <a:picLocks noChangeAspect="1"/>
        </xdr:cNvPicPr>
      </xdr:nvPicPr>
      <xdr:blipFill>
        <a:blip xmlns:r="http://schemas.openxmlformats.org/officeDocument/2006/relationships" r:embed="rId276"/>
        <a:stretch>
          <a:fillRect/>
        </a:stretch>
      </xdr:blipFill>
      <xdr:spPr>
        <a:xfrm>
          <a:off x="0" y="0"/>
          <a:ext cx="0" cy="0"/>
        </a:xfrm>
        <a:prstGeom prst="rect">
          <a:avLst/>
        </a:prstGeom>
      </xdr:spPr>
    </xdr:pic>
    <xdr:clientData/>
  </xdr:oneCellAnchor>
  <xdr:oneCellAnchor>
    <xdr:from>
      <xdr:col>87</xdr:col>
      <xdr:colOff>9525</xdr:colOff>
      <xdr:row>319</xdr:row>
      <xdr:rowOff>9525</xdr:rowOff>
    </xdr:from>
    <xdr:ext cx="1905000" cy="1905000"/>
    <xdr:pic>
      <xdr:nvPicPr>
        <xdr:cNvPr id="305" name="First Page Clipping" descr="First Page Clipping">
          <a:extLst>
            <a:ext uri="{FF2B5EF4-FFF2-40B4-BE49-F238E27FC236}">
              <a16:creationId xmlns:a16="http://schemas.microsoft.com/office/drawing/2014/main" id="{00000000-0008-0000-0000-000031010000}"/>
            </a:ext>
          </a:extLst>
        </xdr:cNvPr>
        <xdr:cNvPicPr>
          <a:picLocks noChangeAspect="1"/>
        </xdr:cNvPicPr>
      </xdr:nvPicPr>
      <xdr:blipFill>
        <a:blip xmlns:r="http://schemas.openxmlformats.org/officeDocument/2006/relationships" r:embed="rId279"/>
        <a:stretch>
          <a:fillRect/>
        </a:stretch>
      </xdr:blipFill>
      <xdr:spPr>
        <a:xfrm>
          <a:off x="0" y="0"/>
          <a:ext cx="0" cy="0"/>
        </a:xfrm>
        <a:prstGeom prst="rect">
          <a:avLst/>
        </a:prstGeom>
      </xdr:spPr>
    </xdr:pic>
    <xdr:clientData/>
  </xdr:oneCellAnchor>
  <xdr:oneCellAnchor>
    <xdr:from>
      <xdr:col>87</xdr:col>
      <xdr:colOff>9525</xdr:colOff>
      <xdr:row>320</xdr:row>
      <xdr:rowOff>9525</xdr:rowOff>
    </xdr:from>
    <xdr:ext cx="1905000" cy="1905000"/>
    <xdr:pic>
      <xdr:nvPicPr>
        <xdr:cNvPr id="306" name="First Page Clipping" descr="First Page Clipping">
          <a:extLst>
            <a:ext uri="{FF2B5EF4-FFF2-40B4-BE49-F238E27FC236}">
              <a16:creationId xmlns:a16="http://schemas.microsoft.com/office/drawing/2014/main" id="{00000000-0008-0000-0000-000032010000}"/>
            </a:ext>
          </a:extLst>
        </xdr:cNvPr>
        <xdr:cNvPicPr>
          <a:picLocks noChangeAspect="1"/>
        </xdr:cNvPicPr>
      </xdr:nvPicPr>
      <xdr:blipFill>
        <a:blip xmlns:r="http://schemas.openxmlformats.org/officeDocument/2006/relationships" r:embed="rId280"/>
        <a:stretch>
          <a:fillRect/>
        </a:stretch>
      </xdr:blipFill>
      <xdr:spPr>
        <a:xfrm>
          <a:off x="0" y="0"/>
          <a:ext cx="0" cy="0"/>
        </a:xfrm>
        <a:prstGeom prst="rect">
          <a:avLst/>
        </a:prstGeom>
      </xdr:spPr>
    </xdr:pic>
    <xdr:clientData/>
  </xdr:oneCellAnchor>
  <xdr:oneCellAnchor>
    <xdr:from>
      <xdr:col>87</xdr:col>
      <xdr:colOff>9525</xdr:colOff>
      <xdr:row>321</xdr:row>
      <xdr:rowOff>9525</xdr:rowOff>
    </xdr:from>
    <xdr:ext cx="1905000" cy="1905000"/>
    <xdr:pic>
      <xdr:nvPicPr>
        <xdr:cNvPr id="307" name="First Page Clipping" descr="First Page Clipping">
          <a:extLst>
            <a:ext uri="{FF2B5EF4-FFF2-40B4-BE49-F238E27FC236}">
              <a16:creationId xmlns:a16="http://schemas.microsoft.com/office/drawing/2014/main" id="{00000000-0008-0000-0000-000033010000}"/>
            </a:ext>
          </a:extLst>
        </xdr:cNvPr>
        <xdr:cNvPicPr>
          <a:picLocks noChangeAspect="1"/>
        </xdr:cNvPicPr>
      </xdr:nvPicPr>
      <xdr:blipFill>
        <a:blip xmlns:r="http://schemas.openxmlformats.org/officeDocument/2006/relationships" r:embed="rId281"/>
        <a:stretch>
          <a:fillRect/>
        </a:stretch>
      </xdr:blipFill>
      <xdr:spPr>
        <a:xfrm>
          <a:off x="0" y="0"/>
          <a:ext cx="0" cy="0"/>
        </a:xfrm>
        <a:prstGeom prst="rect">
          <a:avLst/>
        </a:prstGeom>
      </xdr:spPr>
    </xdr:pic>
    <xdr:clientData/>
  </xdr:oneCellAnchor>
  <xdr:oneCellAnchor>
    <xdr:from>
      <xdr:col>87</xdr:col>
      <xdr:colOff>9525</xdr:colOff>
      <xdr:row>322</xdr:row>
      <xdr:rowOff>9525</xdr:rowOff>
    </xdr:from>
    <xdr:ext cx="1905000" cy="1905000"/>
    <xdr:pic>
      <xdr:nvPicPr>
        <xdr:cNvPr id="308" name="First Page Clipping" descr="First Page Clipping">
          <a:extLst>
            <a:ext uri="{FF2B5EF4-FFF2-40B4-BE49-F238E27FC236}">
              <a16:creationId xmlns:a16="http://schemas.microsoft.com/office/drawing/2014/main" id="{00000000-0008-0000-0000-000034010000}"/>
            </a:ext>
          </a:extLst>
        </xdr:cNvPr>
        <xdr:cNvPicPr>
          <a:picLocks noChangeAspect="1"/>
        </xdr:cNvPicPr>
      </xdr:nvPicPr>
      <xdr:blipFill>
        <a:blip xmlns:r="http://schemas.openxmlformats.org/officeDocument/2006/relationships" r:embed="rId282"/>
        <a:stretch>
          <a:fillRect/>
        </a:stretch>
      </xdr:blipFill>
      <xdr:spPr>
        <a:xfrm>
          <a:off x="0" y="0"/>
          <a:ext cx="0" cy="0"/>
        </a:xfrm>
        <a:prstGeom prst="rect">
          <a:avLst/>
        </a:prstGeom>
      </xdr:spPr>
    </xdr:pic>
    <xdr:clientData/>
  </xdr:oneCellAnchor>
  <xdr:oneCellAnchor>
    <xdr:from>
      <xdr:col>87</xdr:col>
      <xdr:colOff>9525</xdr:colOff>
      <xdr:row>324</xdr:row>
      <xdr:rowOff>9525</xdr:rowOff>
    </xdr:from>
    <xdr:ext cx="1905000" cy="1905000"/>
    <xdr:pic>
      <xdr:nvPicPr>
        <xdr:cNvPr id="309" name="First Page Clipping" descr="First Page Clipping">
          <a:extLst>
            <a:ext uri="{FF2B5EF4-FFF2-40B4-BE49-F238E27FC236}">
              <a16:creationId xmlns:a16="http://schemas.microsoft.com/office/drawing/2014/main" id="{00000000-0008-0000-0000-000035010000}"/>
            </a:ext>
          </a:extLst>
        </xdr:cNvPr>
        <xdr:cNvPicPr>
          <a:picLocks noChangeAspect="1"/>
        </xdr:cNvPicPr>
      </xdr:nvPicPr>
      <xdr:blipFill>
        <a:blip xmlns:r="http://schemas.openxmlformats.org/officeDocument/2006/relationships" r:embed="rId283"/>
        <a:stretch>
          <a:fillRect/>
        </a:stretch>
      </xdr:blipFill>
      <xdr:spPr>
        <a:xfrm>
          <a:off x="0" y="0"/>
          <a:ext cx="0" cy="0"/>
        </a:xfrm>
        <a:prstGeom prst="rect">
          <a:avLst/>
        </a:prstGeom>
      </xdr:spPr>
    </xdr:pic>
    <xdr:clientData/>
  </xdr:oneCellAnchor>
  <xdr:oneCellAnchor>
    <xdr:from>
      <xdr:col>87</xdr:col>
      <xdr:colOff>9525</xdr:colOff>
      <xdr:row>325</xdr:row>
      <xdr:rowOff>9525</xdr:rowOff>
    </xdr:from>
    <xdr:ext cx="1905000" cy="1905000"/>
    <xdr:pic>
      <xdr:nvPicPr>
        <xdr:cNvPr id="310" name="First Page Clipping" descr="First Page Clipping">
          <a:extLst>
            <a:ext uri="{FF2B5EF4-FFF2-40B4-BE49-F238E27FC236}">
              <a16:creationId xmlns:a16="http://schemas.microsoft.com/office/drawing/2014/main" id="{00000000-0008-0000-0000-000036010000}"/>
            </a:ext>
          </a:extLst>
        </xdr:cNvPr>
        <xdr:cNvPicPr>
          <a:picLocks noChangeAspect="1"/>
        </xdr:cNvPicPr>
      </xdr:nvPicPr>
      <xdr:blipFill>
        <a:blip xmlns:r="http://schemas.openxmlformats.org/officeDocument/2006/relationships" r:embed="rId284"/>
        <a:stretch>
          <a:fillRect/>
        </a:stretch>
      </xdr:blipFill>
      <xdr:spPr>
        <a:xfrm>
          <a:off x="0" y="0"/>
          <a:ext cx="0" cy="0"/>
        </a:xfrm>
        <a:prstGeom prst="rect">
          <a:avLst/>
        </a:prstGeom>
      </xdr:spPr>
    </xdr:pic>
    <xdr:clientData/>
  </xdr:oneCellAnchor>
  <xdr:oneCellAnchor>
    <xdr:from>
      <xdr:col>87</xdr:col>
      <xdr:colOff>9525</xdr:colOff>
      <xdr:row>326</xdr:row>
      <xdr:rowOff>9525</xdr:rowOff>
    </xdr:from>
    <xdr:ext cx="1905000" cy="1905000"/>
    <xdr:pic>
      <xdr:nvPicPr>
        <xdr:cNvPr id="311" name="First Page Clipping" descr="First Page Clipping">
          <a:extLst>
            <a:ext uri="{FF2B5EF4-FFF2-40B4-BE49-F238E27FC236}">
              <a16:creationId xmlns:a16="http://schemas.microsoft.com/office/drawing/2014/main" id="{00000000-0008-0000-0000-000037010000}"/>
            </a:ext>
          </a:extLst>
        </xdr:cNvPr>
        <xdr:cNvPicPr>
          <a:picLocks noChangeAspect="1"/>
        </xdr:cNvPicPr>
      </xdr:nvPicPr>
      <xdr:blipFill>
        <a:blip xmlns:r="http://schemas.openxmlformats.org/officeDocument/2006/relationships" r:embed="rId285"/>
        <a:stretch>
          <a:fillRect/>
        </a:stretch>
      </xdr:blipFill>
      <xdr:spPr>
        <a:xfrm>
          <a:off x="0" y="0"/>
          <a:ext cx="0" cy="0"/>
        </a:xfrm>
        <a:prstGeom prst="rect">
          <a:avLst/>
        </a:prstGeom>
      </xdr:spPr>
    </xdr:pic>
    <xdr:clientData/>
  </xdr:oneCellAnchor>
  <xdr:oneCellAnchor>
    <xdr:from>
      <xdr:col>87</xdr:col>
      <xdr:colOff>9525</xdr:colOff>
      <xdr:row>328</xdr:row>
      <xdr:rowOff>9525</xdr:rowOff>
    </xdr:from>
    <xdr:ext cx="1905000" cy="1905000"/>
    <xdr:pic>
      <xdr:nvPicPr>
        <xdr:cNvPr id="312" name="First Page Clipping" descr="First Page Clipping">
          <a:extLst>
            <a:ext uri="{FF2B5EF4-FFF2-40B4-BE49-F238E27FC236}">
              <a16:creationId xmlns:a16="http://schemas.microsoft.com/office/drawing/2014/main" id="{00000000-0008-0000-0000-000038010000}"/>
            </a:ext>
          </a:extLst>
        </xdr:cNvPr>
        <xdr:cNvPicPr>
          <a:picLocks noChangeAspect="1"/>
        </xdr:cNvPicPr>
      </xdr:nvPicPr>
      <xdr:blipFill>
        <a:blip xmlns:r="http://schemas.openxmlformats.org/officeDocument/2006/relationships" r:embed="rId286"/>
        <a:stretch>
          <a:fillRect/>
        </a:stretch>
      </xdr:blipFill>
      <xdr:spPr>
        <a:xfrm>
          <a:off x="0" y="0"/>
          <a:ext cx="0" cy="0"/>
        </a:xfrm>
        <a:prstGeom prst="rect">
          <a:avLst/>
        </a:prstGeom>
      </xdr:spPr>
    </xdr:pic>
    <xdr:clientData/>
  </xdr:oneCellAnchor>
  <xdr:oneCellAnchor>
    <xdr:from>
      <xdr:col>87</xdr:col>
      <xdr:colOff>9525</xdr:colOff>
      <xdr:row>329</xdr:row>
      <xdr:rowOff>9525</xdr:rowOff>
    </xdr:from>
    <xdr:ext cx="1905000" cy="1905000"/>
    <xdr:pic>
      <xdr:nvPicPr>
        <xdr:cNvPr id="313" name="First Page Clipping" descr="First Page Clipping">
          <a:extLst>
            <a:ext uri="{FF2B5EF4-FFF2-40B4-BE49-F238E27FC236}">
              <a16:creationId xmlns:a16="http://schemas.microsoft.com/office/drawing/2014/main" id="{00000000-0008-0000-0000-000039010000}"/>
            </a:ext>
          </a:extLst>
        </xdr:cNvPr>
        <xdr:cNvPicPr>
          <a:picLocks noChangeAspect="1"/>
        </xdr:cNvPicPr>
      </xdr:nvPicPr>
      <xdr:blipFill>
        <a:blip xmlns:r="http://schemas.openxmlformats.org/officeDocument/2006/relationships" r:embed="rId287"/>
        <a:stretch>
          <a:fillRect/>
        </a:stretch>
      </xdr:blipFill>
      <xdr:spPr>
        <a:xfrm>
          <a:off x="0" y="0"/>
          <a:ext cx="0" cy="0"/>
        </a:xfrm>
        <a:prstGeom prst="rect">
          <a:avLst/>
        </a:prstGeom>
      </xdr:spPr>
    </xdr:pic>
    <xdr:clientData/>
  </xdr:oneCellAnchor>
  <xdr:oneCellAnchor>
    <xdr:from>
      <xdr:col>87</xdr:col>
      <xdr:colOff>9525</xdr:colOff>
      <xdr:row>330</xdr:row>
      <xdr:rowOff>9525</xdr:rowOff>
    </xdr:from>
    <xdr:ext cx="1905000" cy="1905000"/>
    <xdr:pic>
      <xdr:nvPicPr>
        <xdr:cNvPr id="314" name="First Page Clipping" descr="First Page Clipping">
          <a:extLst>
            <a:ext uri="{FF2B5EF4-FFF2-40B4-BE49-F238E27FC236}">
              <a16:creationId xmlns:a16="http://schemas.microsoft.com/office/drawing/2014/main" id="{00000000-0008-0000-0000-00003A010000}"/>
            </a:ext>
          </a:extLst>
        </xdr:cNvPr>
        <xdr:cNvPicPr>
          <a:picLocks noChangeAspect="1"/>
        </xdr:cNvPicPr>
      </xdr:nvPicPr>
      <xdr:blipFill>
        <a:blip xmlns:r="http://schemas.openxmlformats.org/officeDocument/2006/relationships" r:embed="rId288"/>
        <a:stretch>
          <a:fillRect/>
        </a:stretch>
      </xdr:blipFill>
      <xdr:spPr>
        <a:xfrm>
          <a:off x="0" y="0"/>
          <a:ext cx="0" cy="0"/>
        </a:xfrm>
        <a:prstGeom prst="rect">
          <a:avLst/>
        </a:prstGeom>
      </xdr:spPr>
    </xdr:pic>
    <xdr:clientData/>
  </xdr:oneCellAnchor>
  <xdr:oneCellAnchor>
    <xdr:from>
      <xdr:col>87</xdr:col>
      <xdr:colOff>9525</xdr:colOff>
      <xdr:row>331</xdr:row>
      <xdr:rowOff>9525</xdr:rowOff>
    </xdr:from>
    <xdr:ext cx="1905000" cy="1905000"/>
    <xdr:pic>
      <xdr:nvPicPr>
        <xdr:cNvPr id="315" name="First Page Clipping" descr="First Page Clipping">
          <a:extLst>
            <a:ext uri="{FF2B5EF4-FFF2-40B4-BE49-F238E27FC236}">
              <a16:creationId xmlns:a16="http://schemas.microsoft.com/office/drawing/2014/main" id="{00000000-0008-0000-0000-00003B010000}"/>
            </a:ext>
          </a:extLst>
        </xdr:cNvPr>
        <xdr:cNvPicPr>
          <a:picLocks noChangeAspect="1"/>
        </xdr:cNvPicPr>
      </xdr:nvPicPr>
      <xdr:blipFill>
        <a:blip xmlns:r="http://schemas.openxmlformats.org/officeDocument/2006/relationships" r:embed="rId289"/>
        <a:stretch>
          <a:fillRect/>
        </a:stretch>
      </xdr:blipFill>
      <xdr:spPr>
        <a:xfrm>
          <a:off x="0" y="0"/>
          <a:ext cx="0" cy="0"/>
        </a:xfrm>
        <a:prstGeom prst="rect">
          <a:avLst/>
        </a:prstGeom>
      </xdr:spPr>
    </xdr:pic>
    <xdr:clientData/>
  </xdr:oneCellAnchor>
  <xdr:oneCellAnchor>
    <xdr:from>
      <xdr:col>87</xdr:col>
      <xdr:colOff>9525</xdr:colOff>
      <xdr:row>332</xdr:row>
      <xdr:rowOff>9525</xdr:rowOff>
    </xdr:from>
    <xdr:ext cx="1905000" cy="1905000"/>
    <xdr:pic>
      <xdr:nvPicPr>
        <xdr:cNvPr id="316" name="First Page Clipping" descr="First Page Clipping">
          <a:extLst>
            <a:ext uri="{FF2B5EF4-FFF2-40B4-BE49-F238E27FC236}">
              <a16:creationId xmlns:a16="http://schemas.microsoft.com/office/drawing/2014/main" id="{00000000-0008-0000-0000-00003C010000}"/>
            </a:ext>
          </a:extLst>
        </xdr:cNvPr>
        <xdr:cNvPicPr>
          <a:picLocks noChangeAspect="1"/>
        </xdr:cNvPicPr>
      </xdr:nvPicPr>
      <xdr:blipFill>
        <a:blip xmlns:r="http://schemas.openxmlformats.org/officeDocument/2006/relationships" r:embed="rId290"/>
        <a:stretch>
          <a:fillRect/>
        </a:stretch>
      </xdr:blipFill>
      <xdr:spPr>
        <a:xfrm>
          <a:off x="0" y="0"/>
          <a:ext cx="0" cy="0"/>
        </a:xfrm>
        <a:prstGeom prst="rect">
          <a:avLst/>
        </a:prstGeom>
      </xdr:spPr>
    </xdr:pic>
    <xdr:clientData/>
  </xdr:oneCellAnchor>
  <xdr:oneCellAnchor>
    <xdr:from>
      <xdr:col>87</xdr:col>
      <xdr:colOff>9525</xdr:colOff>
      <xdr:row>333</xdr:row>
      <xdr:rowOff>9525</xdr:rowOff>
    </xdr:from>
    <xdr:ext cx="1905000" cy="1905000"/>
    <xdr:pic>
      <xdr:nvPicPr>
        <xdr:cNvPr id="317" name="First Page Clipping" descr="First Page Clipping">
          <a:extLst>
            <a:ext uri="{FF2B5EF4-FFF2-40B4-BE49-F238E27FC236}">
              <a16:creationId xmlns:a16="http://schemas.microsoft.com/office/drawing/2014/main" id="{00000000-0008-0000-0000-00003D010000}"/>
            </a:ext>
          </a:extLst>
        </xdr:cNvPr>
        <xdr:cNvPicPr>
          <a:picLocks noChangeAspect="1"/>
        </xdr:cNvPicPr>
      </xdr:nvPicPr>
      <xdr:blipFill>
        <a:blip xmlns:r="http://schemas.openxmlformats.org/officeDocument/2006/relationships" r:embed="rId291"/>
        <a:stretch>
          <a:fillRect/>
        </a:stretch>
      </xdr:blipFill>
      <xdr:spPr>
        <a:xfrm>
          <a:off x="0" y="0"/>
          <a:ext cx="0" cy="0"/>
        </a:xfrm>
        <a:prstGeom prst="rect">
          <a:avLst/>
        </a:prstGeom>
      </xdr:spPr>
    </xdr:pic>
    <xdr:clientData/>
  </xdr:oneCellAnchor>
  <xdr:oneCellAnchor>
    <xdr:from>
      <xdr:col>87</xdr:col>
      <xdr:colOff>9525</xdr:colOff>
      <xdr:row>334</xdr:row>
      <xdr:rowOff>9525</xdr:rowOff>
    </xdr:from>
    <xdr:ext cx="1905000" cy="1905000"/>
    <xdr:pic>
      <xdr:nvPicPr>
        <xdr:cNvPr id="318" name="First Page Clipping" descr="First Page Clipping">
          <a:extLst>
            <a:ext uri="{FF2B5EF4-FFF2-40B4-BE49-F238E27FC236}">
              <a16:creationId xmlns:a16="http://schemas.microsoft.com/office/drawing/2014/main" id="{00000000-0008-0000-0000-00003E010000}"/>
            </a:ext>
          </a:extLst>
        </xdr:cNvPr>
        <xdr:cNvPicPr>
          <a:picLocks noChangeAspect="1"/>
        </xdr:cNvPicPr>
      </xdr:nvPicPr>
      <xdr:blipFill>
        <a:blip xmlns:r="http://schemas.openxmlformats.org/officeDocument/2006/relationships" r:embed="rId292"/>
        <a:stretch>
          <a:fillRect/>
        </a:stretch>
      </xdr:blipFill>
      <xdr:spPr>
        <a:xfrm>
          <a:off x="0" y="0"/>
          <a:ext cx="0" cy="0"/>
        </a:xfrm>
        <a:prstGeom prst="rect">
          <a:avLst/>
        </a:prstGeom>
      </xdr:spPr>
    </xdr:pic>
    <xdr:clientData/>
  </xdr:oneCellAnchor>
  <xdr:oneCellAnchor>
    <xdr:from>
      <xdr:col>87</xdr:col>
      <xdr:colOff>9525</xdr:colOff>
      <xdr:row>335</xdr:row>
      <xdr:rowOff>9525</xdr:rowOff>
    </xdr:from>
    <xdr:ext cx="1905000" cy="1905000"/>
    <xdr:pic>
      <xdr:nvPicPr>
        <xdr:cNvPr id="319" name="First Page Clipping" descr="First Page Clipping">
          <a:extLst>
            <a:ext uri="{FF2B5EF4-FFF2-40B4-BE49-F238E27FC236}">
              <a16:creationId xmlns:a16="http://schemas.microsoft.com/office/drawing/2014/main" id="{00000000-0008-0000-0000-00003F010000}"/>
            </a:ext>
          </a:extLst>
        </xdr:cNvPr>
        <xdr:cNvPicPr>
          <a:picLocks noChangeAspect="1"/>
        </xdr:cNvPicPr>
      </xdr:nvPicPr>
      <xdr:blipFill>
        <a:blip xmlns:r="http://schemas.openxmlformats.org/officeDocument/2006/relationships" r:embed="rId293"/>
        <a:stretch>
          <a:fillRect/>
        </a:stretch>
      </xdr:blipFill>
      <xdr:spPr>
        <a:xfrm>
          <a:off x="0" y="0"/>
          <a:ext cx="0" cy="0"/>
        </a:xfrm>
        <a:prstGeom prst="rect">
          <a:avLst/>
        </a:prstGeom>
      </xdr:spPr>
    </xdr:pic>
    <xdr:clientData/>
  </xdr:oneCellAnchor>
  <xdr:oneCellAnchor>
    <xdr:from>
      <xdr:col>87</xdr:col>
      <xdr:colOff>9525</xdr:colOff>
      <xdr:row>336</xdr:row>
      <xdr:rowOff>9525</xdr:rowOff>
    </xdr:from>
    <xdr:ext cx="1905000" cy="1905000"/>
    <xdr:pic>
      <xdr:nvPicPr>
        <xdr:cNvPr id="320" name="First Page Clipping" descr="First Page Clipping">
          <a:extLst>
            <a:ext uri="{FF2B5EF4-FFF2-40B4-BE49-F238E27FC236}">
              <a16:creationId xmlns:a16="http://schemas.microsoft.com/office/drawing/2014/main" id="{00000000-0008-0000-0000-000040010000}"/>
            </a:ext>
          </a:extLst>
        </xdr:cNvPr>
        <xdr:cNvPicPr>
          <a:picLocks noChangeAspect="1"/>
        </xdr:cNvPicPr>
      </xdr:nvPicPr>
      <xdr:blipFill>
        <a:blip xmlns:r="http://schemas.openxmlformats.org/officeDocument/2006/relationships" r:embed="rId294"/>
        <a:stretch>
          <a:fillRect/>
        </a:stretch>
      </xdr:blipFill>
      <xdr:spPr>
        <a:xfrm>
          <a:off x="0" y="0"/>
          <a:ext cx="0" cy="0"/>
        </a:xfrm>
        <a:prstGeom prst="rect">
          <a:avLst/>
        </a:prstGeom>
      </xdr:spPr>
    </xdr:pic>
    <xdr:clientData/>
  </xdr:oneCellAnchor>
  <xdr:oneCellAnchor>
    <xdr:from>
      <xdr:col>87</xdr:col>
      <xdr:colOff>9525</xdr:colOff>
      <xdr:row>337</xdr:row>
      <xdr:rowOff>9525</xdr:rowOff>
    </xdr:from>
    <xdr:ext cx="1905000" cy="1905000"/>
    <xdr:pic>
      <xdr:nvPicPr>
        <xdr:cNvPr id="321" name="First Page Clipping" descr="First Page Clipping">
          <a:extLst>
            <a:ext uri="{FF2B5EF4-FFF2-40B4-BE49-F238E27FC236}">
              <a16:creationId xmlns:a16="http://schemas.microsoft.com/office/drawing/2014/main" id="{00000000-0008-0000-0000-000041010000}"/>
            </a:ext>
          </a:extLst>
        </xdr:cNvPr>
        <xdr:cNvPicPr>
          <a:picLocks noChangeAspect="1"/>
        </xdr:cNvPicPr>
      </xdr:nvPicPr>
      <xdr:blipFill>
        <a:blip xmlns:r="http://schemas.openxmlformats.org/officeDocument/2006/relationships" r:embed="rId295"/>
        <a:stretch>
          <a:fillRect/>
        </a:stretch>
      </xdr:blipFill>
      <xdr:spPr>
        <a:xfrm>
          <a:off x="0" y="0"/>
          <a:ext cx="0" cy="0"/>
        </a:xfrm>
        <a:prstGeom prst="rect">
          <a:avLst/>
        </a:prstGeom>
      </xdr:spPr>
    </xdr:pic>
    <xdr:clientData/>
  </xdr:oneCellAnchor>
  <xdr:oneCellAnchor>
    <xdr:from>
      <xdr:col>87</xdr:col>
      <xdr:colOff>9525</xdr:colOff>
      <xdr:row>338</xdr:row>
      <xdr:rowOff>9525</xdr:rowOff>
    </xdr:from>
    <xdr:ext cx="1905000" cy="1905000"/>
    <xdr:pic>
      <xdr:nvPicPr>
        <xdr:cNvPr id="322" name="First Page Clipping" descr="First Page Clipping">
          <a:extLst>
            <a:ext uri="{FF2B5EF4-FFF2-40B4-BE49-F238E27FC236}">
              <a16:creationId xmlns:a16="http://schemas.microsoft.com/office/drawing/2014/main" id="{00000000-0008-0000-0000-000042010000}"/>
            </a:ext>
          </a:extLst>
        </xdr:cNvPr>
        <xdr:cNvPicPr>
          <a:picLocks noChangeAspect="1"/>
        </xdr:cNvPicPr>
      </xdr:nvPicPr>
      <xdr:blipFill>
        <a:blip xmlns:r="http://schemas.openxmlformats.org/officeDocument/2006/relationships" r:embed="rId296"/>
        <a:stretch>
          <a:fillRect/>
        </a:stretch>
      </xdr:blipFill>
      <xdr:spPr>
        <a:xfrm>
          <a:off x="0" y="0"/>
          <a:ext cx="0" cy="0"/>
        </a:xfrm>
        <a:prstGeom prst="rect">
          <a:avLst/>
        </a:prstGeom>
      </xdr:spPr>
    </xdr:pic>
    <xdr:clientData/>
  </xdr:oneCellAnchor>
  <xdr:oneCellAnchor>
    <xdr:from>
      <xdr:col>87</xdr:col>
      <xdr:colOff>9525</xdr:colOff>
      <xdr:row>339</xdr:row>
      <xdr:rowOff>9525</xdr:rowOff>
    </xdr:from>
    <xdr:ext cx="1905000" cy="1905000"/>
    <xdr:pic>
      <xdr:nvPicPr>
        <xdr:cNvPr id="323" name="First Page Clipping" descr="First Page Clipping">
          <a:extLst>
            <a:ext uri="{FF2B5EF4-FFF2-40B4-BE49-F238E27FC236}">
              <a16:creationId xmlns:a16="http://schemas.microsoft.com/office/drawing/2014/main" id="{00000000-0008-0000-0000-000043010000}"/>
            </a:ext>
          </a:extLst>
        </xdr:cNvPr>
        <xdr:cNvPicPr>
          <a:picLocks noChangeAspect="1"/>
        </xdr:cNvPicPr>
      </xdr:nvPicPr>
      <xdr:blipFill>
        <a:blip xmlns:r="http://schemas.openxmlformats.org/officeDocument/2006/relationships" r:embed="rId297"/>
        <a:stretch>
          <a:fillRect/>
        </a:stretch>
      </xdr:blipFill>
      <xdr:spPr>
        <a:xfrm>
          <a:off x="0" y="0"/>
          <a:ext cx="0" cy="0"/>
        </a:xfrm>
        <a:prstGeom prst="rect">
          <a:avLst/>
        </a:prstGeom>
      </xdr:spPr>
    </xdr:pic>
    <xdr:clientData/>
  </xdr:oneCellAnchor>
  <xdr:oneCellAnchor>
    <xdr:from>
      <xdr:col>87</xdr:col>
      <xdr:colOff>9525</xdr:colOff>
      <xdr:row>340</xdr:row>
      <xdr:rowOff>9525</xdr:rowOff>
    </xdr:from>
    <xdr:ext cx="1905000" cy="1905000"/>
    <xdr:pic>
      <xdr:nvPicPr>
        <xdr:cNvPr id="324" name="First Page Clipping" descr="First Page Clipping">
          <a:extLst>
            <a:ext uri="{FF2B5EF4-FFF2-40B4-BE49-F238E27FC236}">
              <a16:creationId xmlns:a16="http://schemas.microsoft.com/office/drawing/2014/main" id="{00000000-0008-0000-0000-000044010000}"/>
            </a:ext>
          </a:extLst>
        </xdr:cNvPr>
        <xdr:cNvPicPr>
          <a:picLocks noChangeAspect="1"/>
        </xdr:cNvPicPr>
      </xdr:nvPicPr>
      <xdr:blipFill>
        <a:blip xmlns:r="http://schemas.openxmlformats.org/officeDocument/2006/relationships" r:embed="rId279"/>
        <a:stretch>
          <a:fillRect/>
        </a:stretch>
      </xdr:blipFill>
      <xdr:spPr>
        <a:xfrm>
          <a:off x="0" y="0"/>
          <a:ext cx="0" cy="0"/>
        </a:xfrm>
        <a:prstGeom prst="rect">
          <a:avLst/>
        </a:prstGeom>
      </xdr:spPr>
    </xdr:pic>
    <xdr:clientData/>
  </xdr:oneCellAnchor>
  <xdr:oneCellAnchor>
    <xdr:from>
      <xdr:col>87</xdr:col>
      <xdr:colOff>9525</xdr:colOff>
      <xdr:row>341</xdr:row>
      <xdr:rowOff>9525</xdr:rowOff>
    </xdr:from>
    <xdr:ext cx="1905000" cy="1905000"/>
    <xdr:pic>
      <xdr:nvPicPr>
        <xdr:cNvPr id="325" name="First Page Clipping" descr="First Page Clipping">
          <a:extLst>
            <a:ext uri="{FF2B5EF4-FFF2-40B4-BE49-F238E27FC236}">
              <a16:creationId xmlns:a16="http://schemas.microsoft.com/office/drawing/2014/main" id="{00000000-0008-0000-0000-000045010000}"/>
            </a:ext>
          </a:extLst>
        </xdr:cNvPr>
        <xdr:cNvPicPr>
          <a:picLocks noChangeAspect="1"/>
        </xdr:cNvPicPr>
      </xdr:nvPicPr>
      <xdr:blipFill>
        <a:blip xmlns:r="http://schemas.openxmlformats.org/officeDocument/2006/relationships" r:embed="rId298"/>
        <a:stretch>
          <a:fillRect/>
        </a:stretch>
      </xdr:blipFill>
      <xdr:spPr>
        <a:xfrm>
          <a:off x="0" y="0"/>
          <a:ext cx="0" cy="0"/>
        </a:xfrm>
        <a:prstGeom prst="rect">
          <a:avLst/>
        </a:prstGeom>
      </xdr:spPr>
    </xdr:pic>
    <xdr:clientData/>
  </xdr:oneCellAnchor>
  <xdr:oneCellAnchor>
    <xdr:from>
      <xdr:col>87</xdr:col>
      <xdr:colOff>9525</xdr:colOff>
      <xdr:row>342</xdr:row>
      <xdr:rowOff>9525</xdr:rowOff>
    </xdr:from>
    <xdr:ext cx="1905000" cy="1905000"/>
    <xdr:pic>
      <xdr:nvPicPr>
        <xdr:cNvPr id="326" name="First Page Clipping" descr="First Page Clipping">
          <a:extLst>
            <a:ext uri="{FF2B5EF4-FFF2-40B4-BE49-F238E27FC236}">
              <a16:creationId xmlns:a16="http://schemas.microsoft.com/office/drawing/2014/main" id="{00000000-0008-0000-0000-000046010000}"/>
            </a:ext>
          </a:extLst>
        </xdr:cNvPr>
        <xdr:cNvPicPr>
          <a:picLocks noChangeAspect="1"/>
        </xdr:cNvPicPr>
      </xdr:nvPicPr>
      <xdr:blipFill>
        <a:blip xmlns:r="http://schemas.openxmlformats.org/officeDocument/2006/relationships" r:embed="rId299"/>
        <a:stretch>
          <a:fillRect/>
        </a:stretch>
      </xdr:blipFill>
      <xdr:spPr>
        <a:xfrm>
          <a:off x="0" y="0"/>
          <a:ext cx="0" cy="0"/>
        </a:xfrm>
        <a:prstGeom prst="rect">
          <a:avLst/>
        </a:prstGeom>
      </xdr:spPr>
    </xdr:pic>
    <xdr:clientData/>
  </xdr:oneCellAnchor>
  <xdr:oneCellAnchor>
    <xdr:from>
      <xdr:col>87</xdr:col>
      <xdr:colOff>9525</xdr:colOff>
      <xdr:row>343</xdr:row>
      <xdr:rowOff>9525</xdr:rowOff>
    </xdr:from>
    <xdr:ext cx="1905000" cy="1905000"/>
    <xdr:pic>
      <xdr:nvPicPr>
        <xdr:cNvPr id="327" name="First Page Clipping" descr="First Page Clipping">
          <a:extLst>
            <a:ext uri="{FF2B5EF4-FFF2-40B4-BE49-F238E27FC236}">
              <a16:creationId xmlns:a16="http://schemas.microsoft.com/office/drawing/2014/main" id="{00000000-0008-0000-0000-000047010000}"/>
            </a:ext>
          </a:extLst>
        </xdr:cNvPr>
        <xdr:cNvPicPr>
          <a:picLocks noChangeAspect="1"/>
        </xdr:cNvPicPr>
      </xdr:nvPicPr>
      <xdr:blipFill>
        <a:blip xmlns:r="http://schemas.openxmlformats.org/officeDocument/2006/relationships" r:embed="rId300"/>
        <a:stretch>
          <a:fillRect/>
        </a:stretch>
      </xdr:blipFill>
      <xdr:spPr>
        <a:xfrm>
          <a:off x="0" y="0"/>
          <a:ext cx="0" cy="0"/>
        </a:xfrm>
        <a:prstGeom prst="rect">
          <a:avLst/>
        </a:prstGeom>
      </xdr:spPr>
    </xdr:pic>
    <xdr:clientData/>
  </xdr:oneCellAnchor>
  <xdr:oneCellAnchor>
    <xdr:from>
      <xdr:col>87</xdr:col>
      <xdr:colOff>9525</xdr:colOff>
      <xdr:row>344</xdr:row>
      <xdr:rowOff>9525</xdr:rowOff>
    </xdr:from>
    <xdr:ext cx="1905000" cy="1905000"/>
    <xdr:pic>
      <xdr:nvPicPr>
        <xdr:cNvPr id="328" name="First Page Clipping" descr="First Page Clipping">
          <a:extLst>
            <a:ext uri="{FF2B5EF4-FFF2-40B4-BE49-F238E27FC236}">
              <a16:creationId xmlns:a16="http://schemas.microsoft.com/office/drawing/2014/main" id="{00000000-0008-0000-0000-000048010000}"/>
            </a:ext>
          </a:extLst>
        </xdr:cNvPr>
        <xdr:cNvPicPr>
          <a:picLocks noChangeAspect="1"/>
        </xdr:cNvPicPr>
      </xdr:nvPicPr>
      <xdr:blipFill>
        <a:blip xmlns:r="http://schemas.openxmlformats.org/officeDocument/2006/relationships" r:embed="rId301"/>
        <a:stretch>
          <a:fillRect/>
        </a:stretch>
      </xdr:blipFill>
      <xdr:spPr>
        <a:xfrm>
          <a:off x="0" y="0"/>
          <a:ext cx="0" cy="0"/>
        </a:xfrm>
        <a:prstGeom prst="rect">
          <a:avLst/>
        </a:prstGeom>
      </xdr:spPr>
    </xdr:pic>
    <xdr:clientData/>
  </xdr:oneCellAnchor>
  <xdr:oneCellAnchor>
    <xdr:from>
      <xdr:col>87</xdr:col>
      <xdr:colOff>9525</xdr:colOff>
      <xdr:row>345</xdr:row>
      <xdr:rowOff>9525</xdr:rowOff>
    </xdr:from>
    <xdr:ext cx="1905000" cy="1905000"/>
    <xdr:pic>
      <xdr:nvPicPr>
        <xdr:cNvPr id="329" name="First Page Clipping" descr="First Page Clipping">
          <a:extLst>
            <a:ext uri="{FF2B5EF4-FFF2-40B4-BE49-F238E27FC236}">
              <a16:creationId xmlns:a16="http://schemas.microsoft.com/office/drawing/2014/main" id="{00000000-0008-0000-0000-000049010000}"/>
            </a:ext>
          </a:extLst>
        </xdr:cNvPr>
        <xdr:cNvPicPr>
          <a:picLocks noChangeAspect="1"/>
        </xdr:cNvPicPr>
      </xdr:nvPicPr>
      <xdr:blipFill>
        <a:blip xmlns:r="http://schemas.openxmlformats.org/officeDocument/2006/relationships" r:embed="rId302"/>
        <a:stretch>
          <a:fillRect/>
        </a:stretch>
      </xdr:blipFill>
      <xdr:spPr>
        <a:xfrm>
          <a:off x="0" y="0"/>
          <a:ext cx="0" cy="0"/>
        </a:xfrm>
        <a:prstGeom prst="rect">
          <a:avLst/>
        </a:prstGeom>
      </xdr:spPr>
    </xdr:pic>
    <xdr:clientData/>
  </xdr:oneCellAnchor>
  <xdr:oneCellAnchor>
    <xdr:from>
      <xdr:col>87</xdr:col>
      <xdr:colOff>9525</xdr:colOff>
      <xdr:row>346</xdr:row>
      <xdr:rowOff>9525</xdr:rowOff>
    </xdr:from>
    <xdr:ext cx="1905000" cy="1905000"/>
    <xdr:pic>
      <xdr:nvPicPr>
        <xdr:cNvPr id="330" name="First Page Clipping" descr="First Page Clipping">
          <a:extLst>
            <a:ext uri="{FF2B5EF4-FFF2-40B4-BE49-F238E27FC236}">
              <a16:creationId xmlns:a16="http://schemas.microsoft.com/office/drawing/2014/main" id="{00000000-0008-0000-0000-00004A010000}"/>
            </a:ext>
          </a:extLst>
        </xdr:cNvPr>
        <xdr:cNvPicPr>
          <a:picLocks noChangeAspect="1"/>
        </xdr:cNvPicPr>
      </xdr:nvPicPr>
      <xdr:blipFill>
        <a:blip xmlns:r="http://schemas.openxmlformats.org/officeDocument/2006/relationships" r:embed="rId303"/>
        <a:stretch>
          <a:fillRect/>
        </a:stretch>
      </xdr:blipFill>
      <xdr:spPr>
        <a:xfrm>
          <a:off x="0" y="0"/>
          <a:ext cx="0" cy="0"/>
        </a:xfrm>
        <a:prstGeom prst="rect">
          <a:avLst/>
        </a:prstGeom>
      </xdr:spPr>
    </xdr:pic>
    <xdr:clientData/>
  </xdr:oneCellAnchor>
  <xdr:oneCellAnchor>
    <xdr:from>
      <xdr:col>87</xdr:col>
      <xdr:colOff>9525</xdr:colOff>
      <xdr:row>347</xdr:row>
      <xdr:rowOff>9525</xdr:rowOff>
    </xdr:from>
    <xdr:ext cx="1905000" cy="1905000"/>
    <xdr:pic>
      <xdr:nvPicPr>
        <xdr:cNvPr id="331" name="First Page Clipping" descr="First Page Clipping">
          <a:extLst>
            <a:ext uri="{FF2B5EF4-FFF2-40B4-BE49-F238E27FC236}">
              <a16:creationId xmlns:a16="http://schemas.microsoft.com/office/drawing/2014/main" id="{00000000-0008-0000-0000-00004B010000}"/>
            </a:ext>
          </a:extLst>
        </xdr:cNvPr>
        <xdr:cNvPicPr>
          <a:picLocks noChangeAspect="1"/>
        </xdr:cNvPicPr>
      </xdr:nvPicPr>
      <xdr:blipFill>
        <a:blip xmlns:r="http://schemas.openxmlformats.org/officeDocument/2006/relationships" r:embed="rId304"/>
        <a:stretch>
          <a:fillRect/>
        </a:stretch>
      </xdr:blipFill>
      <xdr:spPr>
        <a:xfrm>
          <a:off x="0" y="0"/>
          <a:ext cx="0" cy="0"/>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U348"/>
  <sheetViews>
    <sheetView tabSelected="1" topLeftCell="Q1" workbookViewId="0">
      <selection activeCell="T1" sqref="T1:V1048576"/>
    </sheetView>
  </sheetViews>
  <sheetFormatPr defaultRowHeight="14.25" x14ac:dyDescent="0.45"/>
  <cols>
    <col min="1" max="12" width="25" customWidth="1"/>
    <col min="13" max="14" width="65" customWidth="1"/>
    <col min="15" max="25" width="25" customWidth="1"/>
    <col min="26" max="27" width="65" customWidth="1"/>
    <col min="28" max="88" width="25" customWidth="1"/>
    <col min="89" max="125" width="65" customWidth="1"/>
  </cols>
  <sheetData>
    <row r="1" spans="1:125" x14ac:dyDescent="0.4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c r="AL1" s="1" t="s">
        <v>37</v>
      </c>
      <c r="AM1" s="1" t="s">
        <v>38</v>
      </c>
      <c r="AN1" s="1" t="s">
        <v>39</v>
      </c>
      <c r="AO1" s="1" t="s">
        <v>40</v>
      </c>
      <c r="AP1" s="1" t="s">
        <v>41</v>
      </c>
      <c r="AQ1" s="1" t="s">
        <v>42</v>
      </c>
      <c r="AR1" s="1" t="s">
        <v>43</v>
      </c>
      <c r="AS1" s="1" t="s">
        <v>44</v>
      </c>
      <c r="AT1" s="1" t="s">
        <v>45</v>
      </c>
      <c r="AU1" s="1" t="s">
        <v>46</v>
      </c>
      <c r="AV1" s="1" t="s">
        <v>47</v>
      </c>
      <c r="AW1" s="1" t="s">
        <v>48</v>
      </c>
      <c r="AX1" s="1" t="s">
        <v>49</v>
      </c>
      <c r="AY1" s="1" t="s">
        <v>50</v>
      </c>
      <c r="AZ1" s="1" t="s">
        <v>51</v>
      </c>
      <c r="BA1" s="1" t="s">
        <v>52</v>
      </c>
      <c r="BB1" s="1" t="s">
        <v>53</v>
      </c>
      <c r="BC1" s="1" t="s">
        <v>54</v>
      </c>
      <c r="BD1" s="1" t="s">
        <v>55</v>
      </c>
      <c r="BE1" s="1" t="s">
        <v>56</v>
      </c>
      <c r="BF1" s="1" t="s">
        <v>57</v>
      </c>
      <c r="BG1" s="1" t="s">
        <v>58</v>
      </c>
      <c r="BH1" s="1" t="s">
        <v>59</v>
      </c>
      <c r="BI1" s="1" t="s">
        <v>60</v>
      </c>
      <c r="BJ1" s="1" t="s">
        <v>61</v>
      </c>
      <c r="BK1" s="1" t="s">
        <v>62</v>
      </c>
      <c r="BL1" s="1" t="s">
        <v>63</v>
      </c>
      <c r="BM1" s="1" t="s">
        <v>64</v>
      </c>
      <c r="BN1" s="1" t="s">
        <v>65</v>
      </c>
      <c r="BO1" s="1" t="s">
        <v>66</v>
      </c>
      <c r="BP1" s="1" t="s">
        <v>67</v>
      </c>
      <c r="BQ1" s="1" t="s">
        <v>68</v>
      </c>
      <c r="BR1" s="1" t="s">
        <v>69</v>
      </c>
      <c r="BS1" s="1" t="s">
        <v>70</v>
      </c>
      <c r="BT1" s="1" t="s">
        <v>71</v>
      </c>
      <c r="BU1" s="1" t="s">
        <v>72</v>
      </c>
      <c r="BV1" s="1" t="s">
        <v>73</v>
      </c>
      <c r="BW1" s="1" t="s">
        <v>74</v>
      </c>
      <c r="BX1" s="1" t="s">
        <v>75</v>
      </c>
      <c r="BY1" s="1" t="s">
        <v>76</v>
      </c>
      <c r="BZ1" s="1" t="s">
        <v>77</v>
      </c>
      <c r="CA1" s="1" t="s">
        <v>78</v>
      </c>
      <c r="CB1" s="1" t="s">
        <v>79</v>
      </c>
      <c r="CC1" s="1" t="s">
        <v>80</v>
      </c>
      <c r="CD1" s="1" t="s">
        <v>81</v>
      </c>
      <c r="CE1" s="1" t="s">
        <v>82</v>
      </c>
      <c r="CF1" s="1" t="s">
        <v>83</v>
      </c>
      <c r="CG1" s="1" t="s">
        <v>84</v>
      </c>
      <c r="CH1" s="1" t="s">
        <v>85</v>
      </c>
      <c r="CI1" s="1" t="s">
        <v>86</v>
      </c>
      <c r="CJ1" s="1" t="s">
        <v>87</v>
      </c>
      <c r="CK1" s="1" t="s">
        <v>88</v>
      </c>
      <c r="CL1" s="1" t="s">
        <v>89</v>
      </c>
      <c r="CM1" s="1" t="s">
        <v>90</v>
      </c>
      <c r="CN1" s="1" t="s">
        <v>91</v>
      </c>
      <c r="CO1" s="1" t="s">
        <v>92</v>
      </c>
      <c r="CP1" s="1" t="s">
        <v>93</v>
      </c>
      <c r="CQ1" s="1" t="s">
        <v>94</v>
      </c>
      <c r="CR1" s="1" t="s">
        <v>95</v>
      </c>
      <c r="CS1" s="1" t="s">
        <v>96</v>
      </c>
      <c r="CT1" s="1" t="s">
        <v>97</v>
      </c>
      <c r="CU1" s="1" t="s">
        <v>98</v>
      </c>
      <c r="CV1" s="1" t="s">
        <v>99</v>
      </c>
      <c r="CW1" s="1" t="s">
        <v>100</v>
      </c>
      <c r="CX1" s="1" t="s">
        <v>101</v>
      </c>
      <c r="CY1" s="1" t="s">
        <v>102</v>
      </c>
      <c r="CZ1" s="1" t="s">
        <v>103</v>
      </c>
      <c r="DA1" s="1" t="s">
        <v>104</v>
      </c>
      <c r="DB1" s="1" t="s">
        <v>105</v>
      </c>
      <c r="DC1" s="1" t="s">
        <v>106</v>
      </c>
      <c r="DD1" s="1" t="s">
        <v>107</v>
      </c>
      <c r="DE1" s="1" t="s">
        <v>108</v>
      </c>
      <c r="DF1" s="1" t="s">
        <v>109</v>
      </c>
      <c r="DG1" s="1" t="s">
        <v>110</v>
      </c>
      <c r="DH1" s="1" t="s">
        <v>111</v>
      </c>
      <c r="DI1" s="1" t="s">
        <v>112</v>
      </c>
      <c r="DJ1" s="1" t="s">
        <v>113</v>
      </c>
      <c r="DK1" s="1" t="s">
        <v>114</v>
      </c>
      <c r="DL1" s="1" t="s">
        <v>115</v>
      </c>
      <c r="DM1" s="1" t="s">
        <v>116</v>
      </c>
      <c r="DN1" s="1" t="s">
        <v>117</v>
      </c>
      <c r="DO1" s="1" t="s">
        <v>118</v>
      </c>
      <c r="DP1" s="1" t="s">
        <v>119</v>
      </c>
      <c r="DQ1" s="1" t="s">
        <v>120</v>
      </c>
      <c r="DR1" s="1" t="s">
        <v>121</v>
      </c>
      <c r="DS1" s="1" t="s">
        <v>122</v>
      </c>
      <c r="DT1" s="1" t="s">
        <v>123</v>
      </c>
      <c r="DU1" s="1" t="s">
        <v>124</v>
      </c>
    </row>
    <row r="2" spans="1:125" ht="152" customHeight="1" x14ac:dyDescent="0.45">
      <c r="A2" s="2">
        <v>0</v>
      </c>
      <c r="B2" s="2">
        <v>0</v>
      </c>
      <c r="C2" s="2"/>
      <c r="D2" s="2"/>
      <c r="E2" s="2" t="s">
        <v>125</v>
      </c>
      <c r="F2" s="2"/>
      <c r="G2" s="2" t="s">
        <v>125</v>
      </c>
      <c r="H2" s="2" t="s">
        <v>126</v>
      </c>
      <c r="I2" s="2" t="s">
        <v>127</v>
      </c>
      <c r="J2" s="2" t="s">
        <v>128</v>
      </c>
      <c r="K2" s="2" t="s">
        <v>125</v>
      </c>
      <c r="L2" s="2" t="s">
        <v>129</v>
      </c>
      <c r="M2" s="2" t="s">
        <v>130</v>
      </c>
      <c r="N2" s="2" t="s">
        <v>131</v>
      </c>
      <c r="O2" s="2"/>
      <c r="P2" s="2" t="s">
        <v>132</v>
      </c>
      <c r="Q2" s="2" t="s">
        <v>133</v>
      </c>
      <c r="R2" s="2" t="s">
        <v>133</v>
      </c>
      <c r="S2" s="2" t="s">
        <v>132</v>
      </c>
      <c r="T2" s="2">
        <v>87</v>
      </c>
      <c r="U2" s="2">
        <v>25</v>
      </c>
      <c r="V2" s="2" t="s">
        <v>134</v>
      </c>
      <c r="W2" s="2" t="s">
        <v>135</v>
      </c>
      <c r="X2" s="2">
        <v>2459</v>
      </c>
      <c r="Y2" s="2" t="s">
        <v>136</v>
      </c>
      <c r="Z2" s="2" t="s">
        <v>137</v>
      </c>
      <c r="AA2" s="2" t="s">
        <v>138</v>
      </c>
      <c r="AB2" s="2">
        <v>28</v>
      </c>
      <c r="AC2" s="2" t="s">
        <v>139</v>
      </c>
      <c r="AD2" s="2" t="s">
        <v>140</v>
      </c>
      <c r="AE2" s="2">
        <v>370</v>
      </c>
      <c r="AF2" s="2" t="s">
        <v>141</v>
      </c>
      <c r="AG2" s="2"/>
      <c r="AH2" s="2"/>
      <c r="AI2" s="2"/>
      <c r="AJ2" s="2"/>
      <c r="AK2" s="2" t="s">
        <v>142</v>
      </c>
      <c r="AL2" s="2" t="s">
        <v>143</v>
      </c>
      <c r="AM2" s="2" t="s">
        <v>144</v>
      </c>
      <c r="AN2" s="2" t="s">
        <v>145</v>
      </c>
      <c r="AO2" s="2" t="s">
        <v>145</v>
      </c>
      <c r="AP2" s="2">
        <v>370225000</v>
      </c>
      <c r="AQ2" s="2">
        <v>370225000</v>
      </c>
      <c r="AR2" s="2" t="s">
        <v>146</v>
      </c>
      <c r="AS2" s="2">
        <v>83511071</v>
      </c>
      <c r="AT2" s="2" t="s">
        <v>147</v>
      </c>
      <c r="AU2" s="2"/>
      <c r="AV2" s="2"/>
      <c r="AW2" s="2" t="s">
        <v>148</v>
      </c>
      <c r="AX2" s="2">
        <v>39917314</v>
      </c>
      <c r="AY2" s="2" t="s">
        <v>149</v>
      </c>
      <c r="AZ2" s="2" t="s">
        <v>150</v>
      </c>
      <c r="BA2" s="2" t="s">
        <v>151</v>
      </c>
      <c r="BB2" s="2">
        <v>0</v>
      </c>
      <c r="BC2" s="3" t="str">
        <f>HYPERLINK("https://patentscout.innography.com/share/Idovxr6strBcCBLQzUEsVg%3D%3D","US20220329569")</f>
        <v>US20220329569</v>
      </c>
      <c r="BD2" s="2" t="s">
        <v>152</v>
      </c>
      <c r="BE2" s="2" t="s">
        <v>153</v>
      </c>
      <c r="BF2" s="2" t="s">
        <v>154</v>
      </c>
      <c r="BG2" s="2" t="str">
        <f>HYPERLINK("https://patentscout.innography.com/share/Idovxr6strBcCBLQzUEsVg%3D%3D/download", "Download PDF")</f>
        <v>Download PDF</v>
      </c>
      <c r="BH2" s="2" t="s">
        <v>155</v>
      </c>
      <c r="BI2" s="2"/>
      <c r="BJ2" s="2" t="s">
        <v>156</v>
      </c>
      <c r="BK2" s="2" t="s">
        <v>156</v>
      </c>
      <c r="BL2" s="2" t="s">
        <v>157</v>
      </c>
      <c r="BM2" s="2"/>
      <c r="BN2" s="2"/>
      <c r="BO2" s="2"/>
      <c r="BP2" s="2"/>
      <c r="BQ2" s="2"/>
      <c r="BR2" s="2"/>
      <c r="BS2" s="2"/>
      <c r="BT2" s="2"/>
      <c r="BU2" s="2"/>
      <c r="BV2" s="2"/>
      <c r="BW2" s="2"/>
      <c r="BX2" s="2"/>
      <c r="BY2" s="2"/>
      <c r="BZ2" s="2"/>
      <c r="CA2" s="2"/>
      <c r="CB2" s="2"/>
      <c r="CC2" s="2" t="s">
        <v>158</v>
      </c>
      <c r="CD2" s="2" t="str">
        <f>HYPERLINK("https://patentscout.innography.com/share/Idovxr6strBcCBLQzUEsVg%3D%3D", "Innography Link")</f>
        <v>Innography Link</v>
      </c>
      <c r="CE2" s="2"/>
      <c r="CF2" s="2"/>
      <c r="CG2" s="2"/>
      <c r="CH2" s="2"/>
      <c r="CI2" s="2"/>
      <c r="CK2" s="2" t="s">
        <v>159</v>
      </c>
      <c r="CL2" s="2" t="s">
        <v>160</v>
      </c>
      <c r="CM2" s="2" t="s">
        <v>161</v>
      </c>
      <c r="CN2" s="2" t="s">
        <v>162</v>
      </c>
      <c r="CO2" s="2" t="s">
        <v>163</v>
      </c>
      <c r="CP2" s="2" t="s">
        <v>164</v>
      </c>
    </row>
    <row r="3" spans="1:125" ht="152" customHeight="1" x14ac:dyDescent="0.45">
      <c r="A3" s="2">
        <v>48</v>
      </c>
      <c r="B3" s="2">
        <v>6</v>
      </c>
      <c r="C3" s="2" t="s">
        <v>165</v>
      </c>
      <c r="D3" s="2" t="s">
        <v>166</v>
      </c>
      <c r="E3" s="2" t="s">
        <v>167</v>
      </c>
      <c r="F3" s="2" t="s">
        <v>168</v>
      </c>
      <c r="G3" s="2" t="s">
        <v>167</v>
      </c>
      <c r="H3" s="2" t="s">
        <v>169</v>
      </c>
      <c r="I3" s="2" t="s">
        <v>170</v>
      </c>
      <c r="J3" s="2" t="s">
        <v>168</v>
      </c>
      <c r="K3" s="2" t="s">
        <v>167</v>
      </c>
      <c r="L3" s="2" t="s">
        <v>167</v>
      </c>
      <c r="M3" s="2" t="s">
        <v>171</v>
      </c>
      <c r="N3" s="2" t="s">
        <v>172</v>
      </c>
      <c r="O3" s="2"/>
      <c r="P3" s="2" t="s">
        <v>173</v>
      </c>
      <c r="Q3" s="2" t="s">
        <v>173</v>
      </c>
      <c r="R3" s="2" t="s">
        <v>173</v>
      </c>
      <c r="S3" s="2" t="s">
        <v>173</v>
      </c>
      <c r="T3" s="2">
        <v>87</v>
      </c>
      <c r="U3" s="2">
        <v>51</v>
      </c>
      <c r="V3" s="2" t="s">
        <v>174</v>
      </c>
      <c r="W3" s="2" t="s">
        <v>175</v>
      </c>
      <c r="X3" s="2">
        <v>2178</v>
      </c>
      <c r="Y3" s="2" t="s">
        <v>176</v>
      </c>
      <c r="Z3" s="2" t="s">
        <v>177</v>
      </c>
      <c r="AA3" s="2" t="s">
        <v>178</v>
      </c>
      <c r="AB3" s="2">
        <v>15</v>
      </c>
      <c r="AC3" s="2" t="s">
        <v>139</v>
      </c>
      <c r="AD3" s="2" t="s">
        <v>179</v>
      </c>
      <c r="AE3" s="2">
        <v>208</v>
      </c>
      <c r="AF3" s="2" t="s">
        <v>180</v>
      </c>
      <c r="AG3" s="2"/>
      <c r="AH3" s="2"/>
      <c r="AI3" s="2" t="s">
        <v>181</v>
      </c>
      <c r="AJ3" s="2"/>
      <c r="AK3" s="2" t="s">
        <v>142</v>
      </c>
      <c r="AL3" s="2" t="s">
        <v>182</v>
      </c>
      <c r="AM3" s="2" t="s">
        <v>183</v>
      </c>
      <c r="AN3" s="2" t="s">
        <v>184</v>
      </c>
      <c r="AO3" s="2" t="s">
        <v>184</v>
      </c>
      <c r="AP3" s="2">
        <v>715757000</v>
      </c>
      <c r="AQ3" s="2">
        <v>715757000</v>
      </c>
      <c r="AR3" s="2" t="s">
        <v>185</v>
      </c>
      <c r="AS3" s="2">
        <v>50275829</v>
      </c>
      <c r="AT3" s="2" t="s">
        <v>186</v>
      </c>
      <c r="AU3" s="2"/>
      <c r="AV3" s="2"/>
      <c r="AW3" s="2" t="s">
        <v>148</v>
      </c>
      <c r="AX3" s="2">
        <v>43108840</v>
      </c>
      <c r="AY3" s="2" t="s">
        <v>187</v>
      </c>
      <c r="AZ3" s="2" t="s">
        <v>188</v>
      </c>
      <c r="BA3" s="2" t="s">
        <v>189</v>
      </c>
      <c r="BB3" s="2">
        <v>0</v>
      </c>
      <c r="BC3" s="3" t="str">
        <f>HYPERLINK("https://patentscout.innography.com/share/n6l-1WdOpB0NfKXZ31EEMg%3D%3D","US20140082526")</f>
        <v>US20140082526</v>
      </c>
      <c r="BD3" s="2" t="s">
        <v>190</v>
      </c>
      <c r="BE3" s="2" t="s">
        <v>191</v>
      </c>
      <c r="BF3" s="2" t="s">
        <v>192</v>
      </c>
      <c r="BG3" s="2" t="str">
        <f>HYPERLINK("https://patentscout.innography.com/share/n6l-1WdOpB0NfKXZ31EEMg%3D%3D/download", "Download PDF")</f>
        <v>Download PDF</v>
      </c>
      <c r="BH3" s="2" t="s">
        <v>193</v>
      </c>
      <c r="BI3" s="2"/>
      <c r="BJ3" s="2" t="s">
        <v>194</v>
      </c>
      <c r="BK3" s="2" t="s">
        <v>195</v>
      </c>
      <c r="BL3" s="2" t="s">
        <v>195</v>
      </c>
      <c r="BM3" s="2"/>
      <c r="BN3" s="2" t="s">
        <v>196</v>
      </c>
      <c r="BO3" s="2" t="s">
        <v>197</v>
      </c>
      <c r="BP3" s="2" t="s">
        <v>198</v>
      </c>
      <c r="BQ3" s="2" t="s">
        <v>199</v>
      </c>
      <c r="BR3" s="2" t="s">
        <v>200</v>
      </c>
      <c r="BS3" s="2" t="s">
        <v>201</v>
      </c>
      <c r="BT3" s="2" t="s">
        <v>202</v>
      </c>
      <c r="BU3" s="2" t="s">
        <v>203</v>
      </c>
      <c r="BV3" s="2"/>
      <c r="BW3" s="2" t="s">
        <v>204</v>
      </c>
      <c r="BX3" s="2"/>
      <c r="BY3" s="2"/>
      <c r="BZ3" s="2"/>
      <c r="CA3" s="2"/>
      <c r="CB3" s="2"/>
      <c r="CC3" s="2" t="s">
        <v>158</v>
      </c>
      <c r="CD3" s="2" t="str">
        <f>HYPERLINK("https://patentscout.innography.com/share/n6l-1WdOpB0NfKXZ31EEMg%3D%3D", "Innography Link")</f>
        <v>Innography Link</v>
      </c>
      <c r="CE3" s="2"/>
      <c r="CF3" s="2"/>
      <c r="CG3" s="2"/>
      <c r="CH3" s="2"/>
      <c r="CI3" s="2"/>
      <c r="CK3" s="2" t="s">
        <v>205</v>
      </c>
      <c r="CL3" s="2" t="s">
        <v>206</v>
      </c>
    </row>
    <row r="4" spans="1:125" ht="152" customHeight="1" x14ac:dyDescent="0.45">
      <c r="A4" s="2">
        <v>13</v>
      </c>
      <c r="B4" s="2">
        <v>0</v>
      </c>
      <c r="C4" s="2"/>
      <c r="D4" s="2" t="s">
        <v>207</v>
      </c>
      <c r="E4" s="2" t="s">
        <v>208</v>
      </c>
      <c r="F4" s="2" t="s">
        <v>209</v>
      </c>
      <c r="G4" s="2" t="s">
        <v>208</v>
      </c>
      <c r="H4" s="2" t="s">
        <v>169</v>
      </c>
      <c r="I4" s="2" t="s">
        <v>169</v>
      </c>
      <c r="J4" s="2" t="s">
        <v>209</v>
      </c>
      <c r="K4" s="2" t="s">
        <v>167</v>
      </c>
      <c r="L4" s="2" t="s">
        <v>167</v>
      </c>
      <c r="M4" s="2" t="s">
        <v>210</v>
      </c>
      <c r="N4" s="2" t="s">
        <v>211</v>
      </c>
      <c r="O4" s="2"/>
      <c r="P4" s="2" t="s">
        <v>173</v>
      </c>
      <c r="Q4" s="2" t="s">
        <v>173</v>
      </c>
      <c r="R4" s="2" t="s">
        <v>173</v>
      </c>
      <c r="S4" s="2" t="s">
        <v>173</v>
      </c>
      <c r="T4" s="2">
        <v>87</v>
      </c>
      <c r="U4" s="2">
        <v>58</v>
      </c>
      <c r="V4" s="2" t="s">
        <v>212</v>
      </c>
      <c r="W4" s="2"/>
      <c r="X4" s="2"/>
      <c r="Y4" s="2"/>
      <c r="Z4" s="2" t="s">
        <v>213</v>
      </c>
      <c r="AA4" s="2" t="s">
        <v>213</v>
      </c>
      <c r="AB4" s="2">
        <v>15</v>
      </c>
      <c r="AC4" s="2" t="s">
        <v>214</v>
      </c>
      <c r="AD4" s="2" t="s">
        <v>215</v>
      </c>
      <c r="AE4" s="2">
        <v>194</v>
      </c>
      <c r="AF4" s="2" t="s">
        <v>180</v>
      </c>
      <c r="AG4" s="2"/>
      <c r="AH4" s="2"/>
      <c r="AI4" s="2" t="s">
        <v>216</v>
      </c>
      <c r="AJ4" s="2"/>
      <c r="AK4" s="2" t="s">
        <v>217</v>
      </c>
      <c r="AL4" s="2" t="s">
        <v>182</v>
      </c>
      <c r="AM4" s="2" t="s">
        <v>183</v>
      </c>
      <c r="AN4" s="2" t="s">
        <v>218</v>
      </c>
      <c r="AO4" s="2" t="s">
        <v>218</v>
      </c>
      <c r="AP4" s="2">
        <v>345506000</v>
      </c>
      <c r="AQ4" s="2">
        <v>345506000</v>
      </c>
      <c r="AR4" s="2" t="s">
        <v>185</v>
      </c>
      <c r="AS4" s="2">
        <v>50275829</v>
      </c>
      <c r="AT4" s="2" t="s">
        <v>186</v>
      </c>
      <c r="AU4" s="2"/>
      <c r="AV4" s="2"/>
      <c r="AW4" s="2" t="s">
        <v>219</v>
      </c>
      <c r="AX4" s="2">
        <v>43108840</v>
      </c>
      <c r="AY4" s="2" t="s">
        <v>187</v>
      </c>
      <c r="AZ4" s="2" t="s">
        <v>220</v>
      </c>
      <c r="BA4" s="2" t="s">
        <v>221</v>
      </c>
      <c r="BB4" s="2">
        <v>0</v>
      </c>
      <c r="BC4" s="3" t="str">
        <f>HYPERLINK("https://patentscout.innography.com/share/UtRt1NPsOx3fNRwpJ3DJHw%3D%3D","KR20140036555")</f>
        <v>KR20140036555</v>
      </c>
      <c r="BD4" s="2" t="s">
        <v>222</v>
      </c>
      <c r="BE4" s="2" t="s">
        <v>223</v>
      </c>
      <c r="BF4" s="2" t="s">
        <v>224</v>
      </c>
      <c r="BG4" s="2" t="str">
        <f>HYPERLINK("https://patentscout.innography.com/share/UtRt1NPsOx3fNRwpJ3DJHw%3D%3D/download", "Download PDF")</f>
        <v>Download PDF</v>
      </c>
      <c r="BH4" s="2" t="s">
        <v>225</v>
      </c>
      <c r="BI4" s="2"/>
      <c r="BJ4" s="2" t="s">
        <v>195</v>
      </c>
      <c r="BK4" s="2" t="s">
        <v>195</v>
      </c>
      <c r="BL4" s="2" t="s">
        <v>195</v>
      </c>
      <c r="BM4" s="2"/>
      <c r="BN4" s="2"/>
      <c r="BO4" s="2"/>
      <c r="BP4" s="2"/>
      <c r="BQ4" s="2"/>
      <c r="BR4" s="2"/>
      <c r="BS4" s="2"/>
      <c r="BT4" s="2"/>
      <c r="BU4" s="2" t="s">
        <v>226</v>
      </c>
      <c r="BV4" s="2" t="s">
        <v>227</v>
      </c>
      <c r="BW4" s="2"/>
      <c r="BX4" s="2"/>
      <c r="BY4" s="2"/>
      <c r="BZ4" s="2"/>
      <c r="CA4" s="2"/>
      <c r="CB4" s="2"/>
      <c r="CC4" s="2" t="s">
        <v>228</v>
      </c>
      <c r="CD4" s="2" t="str">
        <f>HYPERLINK("https://patentscout.innography.com/share/UtRt1NPsOx3fNRwpJ3DJHw%3D%3D", "Innography Link")</f>
        <v>Innography Link</v>
      </c>
      <c r="CE4" s="2"/>
      <c r="CF4" s="2"/>
      <c r="CG4" s="2"/>
      <c r="CH4" s="2"/>
      <c r="CI4" s="2"/>
      <c r="CK4" s="2" t="s">
        <v>229</v>
      </c>
      <c r="CL4" s="2" t="s">
        <v>230</v>
      </c>
    </row>
    <row r="5" spans="1:125" ht="152" customHeight="1" x14ac:dyDescent="0.45">
      <c r="A5" s="2">
        <v>6</v>
      </c>
      <c r="B5" s="2">
        <v>0</v>
      </c>
      <c r="C5" s="2"/>
      <c r="D5" s="2" t="s">
        <v>231</v>
      </c>
      <c r="E5" s="2" t="s">
        <v>208</v>
      </c>
      <c r="F5" s="2" t="s">
        <v>209</v>
      </c>
      <c r="G5" s="2" t="s">
        <v>209</v>
      </c>
      <c r="H5" s="2" t="s">
        <v>169</v>
      </c>
      <c r="I5" s="2" t="s">
        <v>169</v>
      </c>
      <c r="J5" s="2" t="s">
        <v>232</v>
      </c>
      <c r="K5" s="2" t="s">
        <v>167</v>
      </c>
      <c r="L5" s="2" t="s">
        <v>167</v>
      </c>
      <c r="M5" s="2" t="s">
        <v>233</v>
      </c>
      <c r="N5" s="2" t="s">
        <v>211</v>
      </c>
      <c r="O5" s="2"/>
      <c r="P5" s="2" t="s">
        <v>173</v>
      </c>
      <c r="Q5" s="2" t="s">
        <v>173</v>
      </c>
      <c r="R5" s="2" t="s">
        <v>173</v>
      </c>
      <c r="S5" s="2" t="s">
        <v>173</v>
      </c>
      <c r="T5" s="2">
        <v>87</v>
      </c>
      <c r="U5" s="2">
        <v>90</v>
      </c>
      <c r="V5" s="2" t="s">
        <v>212</v>
      </c>
      <c r="W5" s="2"/>
      <c r="X5" s="2"/>
      <c r="Y5" s="2"/>
      <c r="Z5" s="2" t="s">
        <v>234</v>
      </c>
      <c r="AA5" s="2" t="s">
        <v>234</v>
      </c>
      <c r="AB5" s="2">
        <v>15</v>
      </c>
      <c r="AC5" s="2" t="s">
        <v>235</v>
      </c>
      <c r="AD5" s="2" t="s">
        <v>215</v>
      </c>
      <c r="AE5" s="2">
        <v>244</v>
      </c>
      <c r="AF5" s="2" t="s">
        <v>141</v>
      </c>
      <c r="AG5" s="2"/>
      <c r="AH5" s="2"/>
      <c r="AI5" s="2" t="s">
        <v>195</v>
      </c>
      <c r="AJ5" s="2"/>
      <c r="AK5" s="2" t="s">
        <v>217</v>
      </c>
      <c r="AL5" s="2" t="s">
        <v>182</v>
      </c>
      <c r="AM5" s="2" t="s">
        <v>183</v>
      </c>
      <c r="AN5" s="2" t="s">
        <v>218</v>
      </c>
      <c r="AO5" s="2" t="s">
        <v>218</v>
      </c>
      <c r="AP5" s="2">
        <v>345506000</v>
      </c>
      <c r="AQ5" s="2">
        <v>345506000</v>
      </c>
      <c r="AR5" s="2" t="s">
        <v>236</v>
      </c>
      <c r="AS5" s="2">
        <v>50275829</v>
      </c>
      <c r="AT5" s="2" t="s">
        <v>186</v>
      </c>
      <c r="AU5" s="2"/>
      <c r="AV5" s="2"/>
      <c r="AW5" s="2" t="s">
        <v>237</v>
      </c>
      <c r="AX5" s="2">
        <v>43108840</v>
      </c>
      <c r="AY5" s="2" t="s">
        <v>187</v>
      </c>
      <c r="AZ5" s="2" t="s">
        <v>220</v>
      </c>
      <c r="BA5" s="2" t="s">
        <v>238</v>
      </c>
      <c r="BB5" s="2">
        <v>0</v>
      </c>
      <c r="BC5" s="3" t="str">
        <f>HYPERLINK("https://patentscout.innography.com/share/Ztlmx-nuVXup3lpx-KSmqQ%3D%3D","KR101923723")</f>
        <v>KR101923723</v>
      </c>
      <c r="BD5" s="2" t="s">
        <v>239</v>
      </c>
      <c r="BE5" s="2" t="s">
        <v>223</v>
      </c>
      <c r="BF5" s="2" t="s">
        <v>240</v>
      </c>
      <c r="BG5" s="2" t="str">
        <f>HYPERLINK("https://patentscout.innography.com/share/Ztlmx-nuVXup3lpx-KSmqQ%3D%3D/download", "Download PDF")</f>
        <v>Download PDF</v>
      </c>
      <c r="BH5" s="2" t="s">
        <v>241</v>
      </c>
      <c r="BI5" s="2"/>
      <c r="BJ5" s="2" t="s">
        <v>195</v>
      </c>
      <c r="BK5" s="2" t="s">
        <v>195</v>
      </c>
      <c r="BL5" s="2" t="s">
        <v>195</v>
      </c>
      <c r="BM5" s="2"/>
      <c r="BN5" s="2"/>
      <c r="BO5" s="2"/>
      <c r="BP5" s="2"/>
      <c r="BQ5" s="2"/>
      <c r="BR5" s="2"/>
      <c r="BS5" s="2"/>
      <c r="BT5" s="2"/>
      <c r="BU5" s="2" t="s">
        <v>226</v>
      </c>
      <c r="BV5" s="2" t="s">
        <v>242</v>
      </c>
      <c r="BW5" s="2"/>
      <c r="BX5" s="2"/>
      <c r="BY5" s="2"/>
      <c r="BZ5" s="2"/>
      <c r="CA5" s="2"/>
      <c r="CB5" s="2"/>
      <c r="CC5" s="2" t="s">
        <v>243</v>
      </c>
      <c r="CD5" s="2" t="str">
        <f>HYPERLINK("https://patentscout.innography.com/share/Ztlmx-nuVXup3lpx-KSmqQ%3D%3D", "Innography Link")</f>
        <v>Innography Link</v>
      </c>
      <c r="CE5" s="2"/>
      <c r="CF5" s="2"/>
      <c r="CG5" s="2"/>
      <c r="CH5" s="2"/>
      <c r="CI5" s="2"/>
      <c r="CK5" s="2" t="s">
        <v>244</v>
      </c>
      <c r="CL5" s="2" t="s">
        <v>245</v>
      </c>
    </row>
    <row r="6" spans="1:125" ht="152" customHeight="1" x14ac:dyDescent="0.45">
      <c r="A6" s="2">
        <v>0</v>
      </c>
      <c r="B6" s="2">
        <v>11</v>
      </c>
      <c r="C6" s="2" t="s">
        <v>246</v>
      </c>
      <c r="D6" s="2"/>
      <c r="E6" s="2" t="s">
        <v>167</v>
      </c>
      <c r="F6" s="2" t="s">
        <v>168</v>
      </c>
      <c r="G6" s="2" t="s">
        <v>168</v>
      </c>
      <c r="H6" s="2" t="s">
        <v>169</v>
      </c>
      <c r="I6" s="2" t="s">
        <v>170</v>
      </c>
      <c r="J6" s="2" t="s">
        <v>247</v>
      </c>
      <c r="K6" s="2" t="s">
        <v>167</v>
      </c>
      <c r="L6" s="2" t="s">
        <v>167</v>
      </c>
      <c r="M6" s="2" t="s">
        <v>171</v>
      </c>
      <c r="N6" s="2" t="s">
        <v>172</v>
      </c>
      <c r="O6" s="2"/>
      <c r="P6" s="2" t="s">
        <v>173</v>
      </c>
      <c r="Q6" s="2" t="s">
        <v>173</v>
      </c>
      <c r="R6" s="2" t="s">
        <v>173</v>
      </c>
      <c r="S6" s="2" t="s">
        <v>173</v>
      </c>
      <c r="T6" s="2">
        <v>87</v>
      </c>
      <c r="U6" s="2">
        <v>9</v>
      </c>
      <c r="V6" s="2" t="s">
        <v>174</v>
      </c>
      <c r="W6" s="2" t="s">
        <v>175</v>
      </c>
      <c r="X6" s="2">
        <v>2178</v>
      </c>
      <c r="Y6" s="2" t="s">
        <v>176</v>
      </c>
      <c r="Z6" s="2" t="s">
        <v>248</v>
      </c>
      <c r="AA6" s="2" t="s">
        <v>249</v>
      </c>
      <c r="AB6" s="2">
        <v>8</v>
      </c>
      <c r="AC6" s="2" t="s">
        <v>250</v>
      </c>
      <c r="AD6" s="2" t="s">
        <v>179</v>
      </c>
      <c r="AE6" s="2">
        <v>472</v>
      </c>
      <c r="AF6" s="2" t="s">
        <v>180</v>
      </c>
      <c r="AG6" s="2"/>
      <c r="AH6" s="2"/>
      <c r="AI6" s="2" t="s">
        <v>194</v>
      </c>
      <c r="AJ6" s="2"/>
      <c r="AK6" s="2" t="s">
        <v>142</v>
      </c>
      <c r="AL6" s="2" t="s">
        <v>182</v>
      </c>
      <c r="AM6" s="2" t="s">
        <v>183</v>
      </c>
      <c r="AN6" s="2" t="s">
        <v>251</v>
      </c>
      <c r="AO6" s="2" t="s">
        <v>252</v>
      </c>
      <c r="AP6" s="2">
        <v>715763000</v>
      </c>
      <c r="AQ6" s="2">
        <v>715763000</v>
      </c>
      <c r="AR6" s="2" t="s">
        <v>253</v>
      </c>
      <c r="AS6" s="2">
        <v>50275829</v>
      </c>
      <c r="AT6" s="2" t="s">
        <v>186</v>
      </c>
      <c r="AU6" s="2"/>
      <c r="AV6" s="2"/>
      <c r="AW6" s="2" t="s">
        <v>254</v>
      </c>
      <c r="AX6" s="2">
        <v>43108840</v>
      </c>
      <c r="AY6" s="2" t="s">
        <v>187</v>
      </c>
      <c r="AZ6" s="2" t="s">
        <v>188</v>
      </c>
      <c r="BA6" s="2" t="s">
        <v>255</v>
      </c>
      <c r="BB6" s="2">
        <v>0</v>
      </c>
      <c r="BC6" s="3" t="str">
        <f>HYPERLINK("https://patentscout.innography.com/share/0DV_pJ2x0vIu4_P748Yg-w%3D%3D","US9338200")</f>
        <v>US9338200</v>
      </c>
      <c r="BD6" s="2" t="s">
        <v>256</v>
      </c>
      <c r="BE6" s="2" t="s">
        <v>191</v>
      </c>
      <c r="BF6" s="2" t="s">
        <v>257</v>
      </c>
      <c r="BG6" s="2" t="str">
        <f>HYPERLINK("https://patentscout.innography.com/share/0DV_pJ2x0vIu4_P748Yg-w%3D%3D/download", "Download PDF")</f>
        <v>Download PDF</v>
      </c>
      <c r="BH6" s="2" t="s">
        <v>258</v>
      </c>
      <c r="BI6" s="2"/>
      <c r="BJ6" s="2" t="s">
        <v>194</v>
      </c>
      <c r="BK6" s="2" t="s">
        <v>195</v>
      </c>
      <c r="BL6" s="2" t="s">
        <v>195</v>
      </c>
      <c r="BM6" s="2"/>
      <c r="BN6" s="2" t="s">
        <v>196</v>
      </c>
      <c r="BO6" s="2" t="s">
        <v>197</v>
      </c>
      <c r="BP6" s="2" t="s">
        <v>198</v>
      </c>
      <c r="BQ6" s="2" t="s">
        <v>199</v>
      </c>
      <c r="BR6" s="2" t="s">
        <v>200</v>
      </c>
      <c r="BS6" s="2" t="s">
        <v>201</v>
      </c>
      <c r="BT6" s="2" t="s">
        <v>202</v>
      </c>
      <c r="BU6" s="2" t="s">
        <v>203</v>
      </c>
      <c r="BV6" s="2"/>
      <c r="BW6" s="2" t="s">
        <v>204</v>
      </c>
      <c r="BX6" s="2"/>
      <c r="BY6" s="2"/>
      <c r="BZ6" s="2"/>
      <c r="CA6" s="2"/>
      <c r="CB6" s="2"/>
      <c r="CC6" s="2" t="s">
        <v>259</v>
      </c>
      <c r="CD6" s="2" t="str">
        <f>HYPERLINK("https://patentscout.innography.com/share/0DV_pJ2x0vIu4_P748Yg-w%3D%3D", "Innography Link")</f>
        <v>Innography Link</v>
      </c>
      <c r="CE6" s="2"/>
      <c r="CF6" s="2"/>
      <c r="CG6" s="2"/>
      <c r="CH6" s="2"/>
      <c r="CI6" s="2"/>
      <c r="CK6" s="2" t="s">
        <v>260</v>
      </c>
      <c r="CL6" s="2" t="s">
        <v>261</v>
      </c>
    </row>
    <row r="7" spans="1:125" ht="152" customHeight="1" x14ac:dyDescent="0.45">
      <c r="A7" s="2">
        <v>9</v>
      </c>
      <c r="B7" s="2">
        <v>0</v>
      </c>
      <c r="C7" s="2"/>
      <c r="D7" s="2" t="s">
        <v>262</v>
      </c>
      <c r="E7" s="2" t="s">
        <v>263</v>
      </c>
      <c r="F7" s="2"/>
      <c r="G7" s="2" t="s">
        <v>263</v>
      </c>
      <c r="H7" s="2" t="s">
        <v>264</v>
      </c>
      <c r="I7" s="2" t="s">
        <v>264</v>
      </c>
      <c r="J7" s="2" t="s">
        <v>265</v>
      </c>
      <c r="K7" s="2" t="s">
        <v>263</v>
      </c>
      <c r="L7" s="2" t="s">
        <v>263</v>
      </c>
      <c r="M7" s="2" t="s">
        <v>266</v>
      </c>
      <c r="N7" s="2" t="s">
        <v>267</v>
      </c>
      <c r="O7" s="2"/>
      <c r="P7" s="2" t="s">
        <v>173</v>
      </c>
      <c r="Q7" s="2" t="s">
        <v>173</v>
      </c>
      <c r="R7" s="2" t="s">
        <v>173</v>
      </c>
      <c r="S7" s="2" t="s">
        <v>173</v>
      </c>
      <c r="T7" s="2">
        <v>87</v>
      </c>
      <c r="U7" s="2">
        <v>43</v>
      </c>
      <c r="V7" s="2" t="s">
        <v>268</v>
      </c>
      <c r="W7" s="2"/>
      <c r="X7" s="2"/>
      <c r="Y7" s="2"/>
      <c r="Z7" s="2" t="s">
        <v>269</v>
      </c>
      <c r="AA7" s="2" t="s">
        <v>269</v>
      </c>
      <c r="AB7" s="2">
        <v>1</v>
      </c>
      <c r="AC7" s="2" t="s">
        <v>214</v>
      </c>
      <c r="AD7" s="2" t="s">
        <v>270</v>
      </c>
      <c r="AE7" s="2">
        <v>109</v>
      </c>
      <c r="AF7" s="2" t="s">
        <v>180</v>
      </c>
      <c r="AG7" s="2"/>
      <c r="AH7" s="2"/>
      <c r="AI7" s="2"/>
      <c r="AJ7" s="2"/>
      <c r="AK7" s="2" t="s">
        <v>217</v>
      </c>
      <c r="AL7" s="2" t="s">
        <v>271</v>
      </c>
      <c r="AM7" s="2" t="s">
        <v>272</v>
      </c>
      <c r="AN7" s="2" t="s">
        <v>273</v>
      </c>
      <c r="AO7" s="2" t="s">
        <v>274</v>
      </c>
      <c r="AP7" s="2">
        <v>708134000</v>
      </c>
      <c r="AQ7" s="2">
        <v>708134000</v>
      </c>
      <c r="AR7" s="2" t="s">
        <v>275</v>
      </c>
      <c r="AS7" s="2">
        <v>48864185</v>
      </c>
      <c r="AT7" s="2" t="s">
        <v>276</v>
      </c>
      <c r="AU7" s="2"/>
      <c r="AV7" s="2"/>
      <c r="AW7" s="2" t="s">
        <v>219</v>
      </c>
      <c r="AX7" s="2">
        <v>41830359</v>
      </c>
      <c r="AY7" s="2" t="s">
        <v>277</v>
      </c>
      <c r="AZ7" s="2" t="s">
        <v>278</v>
      </c>
      <c r="BA7" s="2" t="s">
        <v>255</v>
      </c>
      <c r="BB7" s="2">
        <v>0</v>
      </c>
      <c r="BC7" s="3" t="str">
        <f>HYPERLINK("https://patentscout.innography.com/share/ijX8JL285os6VAiP_31_vQ%3D%3D","KR20130068593")</f>
        <v>KR20130068593</v>
      </c>
      <c r="BD7" s="2" t="s">
        <v>279</v>
      </c>
      <c r="BE7" s="2" t="s">
        <v>280</v>
      </c>
      <c r="BF7" s="2" t="s">
        <v>281</v>
      </c>
      <c r="BG7" s="2" t="str">
        <f>HYPERLINK("https://patentscout.innography.com/share/ijX8JL285os6VAiP_31_vQ%3D%3D/download", "Download PDF")</f>
        <v>Download PDF</v>
      </c>
      <c r="BH7" s="2" t="s">
        <v>282</v>
      </c>
      <c r="BI7" s="2"/>
      <c r="BJ7" s="2" t="s">
        <v>277</v>
      </c>
      <c r="BK7" s="2" t="s">
        <v>277</v>
      </c>
      <c r="BL7" s="2" t="s">
        <v>277</v>
      </c>
      <c r="BM7" s="2"/>
      <c r="BN7" s="2"/>
      <c r="BO7" s="2"/>
      <c r="BP7" s="2"/>
      <c r="BQ7" s="2"/>
      <c r="BR7" s="2"/>
      <c r="BS7" s="2"/>
      <c r="BT7" s="2"/>
      <c r="BU7" s="2"/>
      <c r="BV7" s="2" t="s">
        <v>227</v>
      </c>
      <c r="BW7" s="2"/>
      <c r="BX7" s="2"/>
      <c r="BY7" s="2"/>
      <c r="BZ7" s="2"/>
      <c r="CA7" s="2"/>
      <c r="CB7" s="2"/>
      <c r="CC7" s="2" t="s">
        <v>228</v>
      </c>
      <c r="CD7" s="2" t="str">
        <f>HYPERLINK("https://patentscout.innography.com/share/ijX8JL285os6VAiP_31_vQ%3D%3D", "Innography Link")</f>
        <v>Innography Link</v>
      </c>
      <c r="CE7" s="2"/>
      <c r="CF7" s="2"/>
      <c r="CG7" s="2"/>
      <c r="CH7" s="2"/>
      <c r="CI7" s="2"/>
      <c r="CK7" s="2" t="s">
        <v>283</v>
      </c>
    </row>
    <row r="8" spans="1:125" ht="152" customHeight="1" x14ac:dyDescent="0.45">
      <c r="A8" s="2">
        <v>38</v>
      </c>
      <c r="B8" s="2">
        <v>2</v>
      </c>
      <c r="C8" s="2" t="s">
        <v>284</v>
      </c>
      <c r="D8" s="2" t="s">
        <v>285</v>
      </c>
      <c r="E8" s="2" t="s">
        <v>286</v>
      </c>
      <c r="F8" s="2"/>
      <c r="G8" s="2" t="s">
        <v>286</v>
      </c>
      <c r="H8" s="2" t="s">
        <v>287</v>
      </c>
      <c r="I8" s="2" t="s">
        <v>288</v>
      </c>
      <c r="J8" s="2" t="s">
        <v>289</v>
      </c>
      <c r="K8" s="2" t="s">
        <v>286</v>
      </c>
      <c r="L8" s="2" t="s">
        <v>286</v>
      </c>
      <c r="M8" s="2" t="s">
        <v>290</v>
      </c>
      <c r="N8" s="2" t="s">
        <v>291</v>
      </c>
      <c r="O8" s="2"/>
      <c r="P8" s="2" t="s">
        <v>292</v>
      </c>
      <c r="Q8" s="2" t="s">
        <v>173</v>
      </c>
      <c r="R8" s="2" t="s">
        <v>173</v>
      </c>
      <c r="S8" s="2" t="s">
        <v>173</v>
      </c>
      <c r="T8" s="2">
        <v>87</v>
      </c>
      <c r="U8" s="2">
        <v>41</v>
      </c>
      <c r="V8" s="2" t="s">
        <v>293</v>
      </c>
      <c r="W8" s="2" t="s">
        <v>294</v>
      </c>
      <c r="X8" s="2">
        <v>3718</v>
      </c>
      <c r="Y8" s="2"/>
      <c r="Z8" s="2" t="s">
        <v>295</v>
      </c>
      <c r="AA8" s="2" t="s">
        <v>296</v>
      </c>
      <c r="AB8" s="2">
        <v>10</v>
      </c>
      <c r="AC8" s="2" t="s">
        <v>139</v>
      </c>
      <c r="AD8" s="2" t="s">
        <v>297</v>
      </c>
      <c r="AE8" s="2">
        <v>90</v>
      </c>
      <c r="AF8" s="2" t="s">
        <v>180</v>
      </c>
      <c r="AG8" s="2"/>
      <c r="AH8" s="2"/>
      <c r="AI8" s="2"/>
      <c r="AJ8" s="2"/>
      <c r="AK8" s="2" t="s">
        <v>142</v>
      </c>
      <c r="AL8" s="2" t="s">
        <v>298</v>
      </c>
      <c r="AM8" s="2" t="s">
        <v>299</v>
      </c>
      <c r="AN8" s="2" t="s">
        <v>300</v>
      </c>
      <c r="AO8" s="2" t="s">
        <v>300</v>
      </c>
      <c r="AP8" s="2">
        <v>463042000</v>
      </c>
      <c r="AQ8" s="2" t="s">
        <v>301</v>
      </c>
      <c r="AR8" s="2" t="s">
        <v>275</v>
      </c>
      <c r="AS8" s="2">
        <v>43465691</v>
      </c>
      <c r="AT8" s="2" t="s">
        <v>302</v>
      </c>
      <c r="AU8" s="2"/>
      <c r="AV8" s="2"/>
      <c r="AW8" s="2" t="s">
        <v>303</v>
      </c>
      <c r="AX8" s="2">
        <v>35125267</v>
      </c>
      <c r="AY8" s="2" t="s">
        <v>304</v>
      </c>
      <c r="AZ8" s="2" t="s">
        <v>305</v>
      </c>
      <c r="BA8" s="2" t="s">
        <v>306</v>
      </c>
      <c r="BB8" s="2">
        <v>0</v>
      </c>
      <c r="BC8" s="3" t="str">
        <f>HYPERLINK("https://patentscout.innography.com/share/tzF-PVNl_59bLjemnUGRoQ%3D%3D","US20110014985")</f>
        <v>US20110014985</v>
      </c>
      <c r="BD8" s="2" t="s">
        <v>307</v>
      </c>
      <c r="BE8" s="2" t="s">
        <v>308</v>
      </c>
      <c r="BF8" s="2" t="s">
        <v>309</v>
      </c>
      <c r="BG8" s="2" t="str">
        <f>HYPERLINK("https://patentscout.innography.com/share/tzF-PVNl_59bLjemnUGRoQ%3D%3D/download", "Download PDF")</f>
        <v>Download PDF</v>
      </c>
      <c r="BH8" s="2" t="s">
        <v>310</v>
      </c>
      <c r="BI8" s="2"/>
      <c r="BJ8" s="2" t="s">
        <v>311</v>
      </c>
      <c r="BK8" s="2" t="s">
        <v>312</v>
      </c>
      <c r="BL8" s="2" t="s">
        <v>312</v>
      </c>
      <c r="BM8" s="2" t="s">
        <v>313</v>
      </c>
      <c r="BN8" s="2" t="s">
        <v>314</v>
      </c>
      <c r="BO8" s="2"/>
      <c r="BP8" s="2"/>
      <c r="BQ8" s="2" t="s">
        <v>315</v>
      </c>
      <c r="BR8" s="2"/>
      <c r="BS8" s="2"/>
      <c r="BT8" s="2" t="s">
        <v>316</v>
      </c>
      <c r="BU8" s="2" t="s">
        <v>317</v>
      </c>
      <c r="BV8" s="2"/>
      <c r="BW8" s="2" t="s">
        <v>318</v>
      </c>
      <c r="BX8" s="2"/>
      <c r="BY8" s="2"/>
      <c r="BZ8" s="2"/>
      <c r="CA8" s="2"/>
      <c r="CB8" s="2"/>
      <c r="CC8" s="2" t="s">
        <v>158</v>
      </c>
      <c r="CD8" s="2" t="str">
        <f>HYPERLINK("https://patentscout.innography.com/share/tzF-PVNl_59bLjemnUGRoQ%3D%3D", "Innography Link")</f>
        <v>Innography Link</v>
      </c>
      <c r="CE8" s="2"/>
      <c r="CF8" s="2"/>
      <c r="CG8" s="2"/>
      <c r="CH8" s="2"/>
      <c r="CI8" s="2"/>
      <c r="CK8" s="2" t="s">
        <v>319</v>
      </c>
      <c r="CL8" s="2" t="s">
        <v>320</v>
      </c>
      <c r="CM8" s="2" t="s">
        <v>321</v>
      </c>
    </row>
    <row r="9" spans="1:125" ht="152" customHeight="1" x14ac:dyDescent="0.45">
      <c r="A9" s="2">
        <v>0</v>
      </c>
      <c r="B9" s="2">
        <v>3</v>
      </c>
      <c r="C9" s="2" t="s">
        <v>322</v>
      </c>
      <c r="D9" s="2"/>
      <c r="E9" s="2"/>
      <c r="F9" s="2" t="s">
        <v>323</v>
      </c>
      <c r="G9" s="2" t="s">
        <v>323</v>
      </c>
      <c r="H9" s="2" t="s">
        <v>324</v>
      </c>
      <c r="I9" s="2" t="s">
        <v>325</v>
      </c>
      <c r="J9" s="2" t="s">
        <v>326</v>
      </c>
      <c r="K9" s="2" t="s">
        <v>323</v>
      </c>
      <c r="L9" s="2" t="s">
        <v>323</v>
      </c>
      <c r="M9" s="2" t="s">
        <v>327</v>
      </c>
      <c r="N9" s="2" t="s">
        <v>328</v>
      </c>
      <c r="O9" s="2"/>
      <c r="P9" s="2"/>
      <c r="Q9" s="2"/>
      <c r="R9" s="2"/>
      <c r="S9" s="2"/>
      <c r="T9" s="2">
        <v>87</v>
      </c>
      <c r="U9" s="2">
        <v>4</v>
      </c>
      <c r="V9" s="2" t="s">
        <v>329</v>
      </c>
      <c r="W9" s="2"/>
      <c r="X9" s="2"/>
      <c r="Y9" s="2"/>
      <c r="Z9" s="2" t="s">
        <v>330</v>
      </c>
      <c r="AA9" s="2" t="s">
        <v>331</v>
      </c>
      <c r="AB9" s="2">
        <v>5</v>
      </c>
      <c r="AC9" s="2" t="s">
        <v>235</v>
      </c>
      <c r="AD9" s="2"/>
      <c r="AE9" s="2">
        <v>944</v>
      </c>
      <c r="AF9" s="2" t="s">
        <v>141</v>
      </c>
      <c r="AG9" s="2"/>
      <c r="AH9" s="2"/>
      <c r="AI9" s="2"/>
      <c r="AJ9" s="2"/>
      <c r="AK9" s="2" t="s">
        <v>217</v>
      </c>
      <c r="AL9" s="2" t="s">
        <v>332</v>
      </c>
      <c r="AM9" s="2" t="s">
        <v>332</v>
      </c>
      <c r="AN9" s="2" t="s">
        <v>333</v>
      </c>
      <c r="AO9" s="2" t="s">
        <v>334</v>
      </c>
      <c r="AP9" s="2">
        <v>340005530</v>
      </c>
      <c r="AQ9" s="2">
        <v>340005530</v>
      </c>
      <c r="AR9" s="2" t="s">
        <v>253</v>
      </c>
      <c r="AS9" s="2">
        <v>84440443</v>
      </c>
      <c r="AT9" s="2" t="s">
        <v>335</v>
      </c>
      <c r="AU9" s="2"/>
      <c r="AV9" s="2"/>
      <c r="AW9" s="2" t="s">
        <v>336</v>
      </c>
      <c r="AX9" s="2">
        <v>93049372</v>
      </c>
      <c r="AY9" s="2" t="s">
        <v>337</v>
      </c>
      <c r="AZ9" s="2" t="s">
        <v>338</v>
      </c>
      <c r="BA9" s="2" t="s">
        <v>339</v>
      </c>
      <c r="BB9" s="2">
        <v>0</v>
      </c>
      <c r="BC9" s="3" t="str">
        <f>HYPERLINK("https://patentscout.innography.com/share/Jtcqz8aNl7JBQG7wVIrQgQ%3D%3D","KR102475823")</f>
        <v>KR102475823</v>
      </c>
      <c r="BD9" s="2" t="s">
        <v>340</v>
      </c>
      <c r="BE9" s="2" t="s">
        <v>341</v>
      </c>
      <c r="BF9" s="2" t="s">
        <v>342</v>
      </c>
      <c r="BG9" s="2" t="str">
        <f>HYPERLINK("https://patentscout.innography.com/share/Jtcqz8aNl7JBQG7wVIrQgQ%3D%3D/download", "Download PDF")</f>
        <v>Download PDF</v>
      </c>
      <c r="BH9" s="2" t="s">
        <v>343</v>
      </c>
      <c r="BI9" s="2"/>
      <c r="BJ9" s="2" t="s">
        <v>344</v>
      </c>
      <c r="BK9" s="2" t="s">
        <v>344</v>
      </c>
      <c r="BL9" s="2" t="s">
        <v>344</v>
      </c>
      <c r="BM9" s="2"/>
      <c r="BN9" s="2"/>
      <c r="BO9" s="2"/>
      <c r="BP9" s="2"/>
      <c r="BQ9" s="2"/>
      <c r="BR9" s="2"/>
      <c r="BS9" s="2"/>
      <c r="BT9" s="2"/>
      <c r="BU9" s="2"/>
      <c r="BV9" s="2"/>
      <c r="BW9" s="2"/>
      <c r="BX9" s="2"/>
      <c r="BY9" s="2"/>
      <c r="BZ9" s="2"/>
      <c r="CA9" s="2"/>
      <c r="CB9" s="2"/>
      <c r="CC9" s="2" t="s">
        <v>243</v>
      </c>
      <c r="CD9" s="2" t="str">
        <f>HYPERLINK("https://patentscout.innography.com/share/Jtcqz8aNl7JBQG7wVIrQgQ%3D%3D", "Innography Link")</f>
        <v>Innography Link</v>
      </c>
      <c r="CE9" s="2"/>
      <c r="CF9" s="2"/>
      <c r="CG9" s="2"/>
      <c r="CH9" s="2"/>
      <c r="CI9" s="2"/>
      <c r="CK9" s="2" t="s">
        <v>345</v>
      </c>
      <c r="CL9" s="2" t="s">
        <v>346</v>
      </c>
      <c r="CM9" s="2" t="s">
        <v>347</v>
      </c>
      <c r="CN9" s="2" t="s">
        <v>348</v>
      </c>
      <c r="CO9" s="2" t="s">
        <v>349</v>
      </c>
    </row>
    <row r="10" spans="1:125" ht="152" customHeight="1" x14ac:dyDescent="0.45">
      <c r="A10" s="2">
        <v>0</v>
      </c>
      <c r="B10" s="2">
        <v>6</v>
      </c>
      <c r="C10" s="2" t="s">
        <v>350</v>
      </c>
      <c r="D10" s="2"/>
      <c r="E10" s="2"/>
      <c r="F10" s="2" t="s">
        <v>351</v>
      </c>
      <c r="G10" s="2" t="s">
        <v>351</v>
      </c>
      <c r="H10" s="2" t="s">
        <v>352</v>
      </c>
      <c r="I10" s="2" t="s">
        <v>352</v>
      </c>
      <c r="J10" s="2" t="s">
        <v>353</v>
      </c>
      <c r="K10" s="2" t="s">
        <v>351</v>
      </c>
      <c r="L10" s="2" t="s">
        <v>351</v>
      </c>
      <c r="M10" s="2" t="s">
        <v>354</v>
      </c>
      <c r="N10" s="2" t="s">
        <v>355</v>
      </c>
      <c r="O10" s="2"/>
      <c r="P10" s="2"/>
      <c r="Q10" s="2"/>
      <c r="R10" s="2"/>
      <c r="S10" s="2"/>
      <c r="T10" s="2">
        <v>87</v>
      </c>
      <c r="U10" s="2">
        <v>7</v>
      </c>
      <c r="V10" s="2" t="s">
        <v>356</v>
      </c>
      <c r="W10" s="2"/>
      <c r="X10" s="2"/>
      <c r="Y10" s="2"/>
      <c r="Z10" s="2" t="s">
        <v>357</v>
      </c>
      <c r="AA10" s="2" t="s">
        <v>358</v>
      </c>
      <c r="AB10" s="2">
        <v>10</v>
      </c>
      <c r="AC10" s="2" t="s">
        <v>235</v>
      </c>
      <c r="AD10" s="2"/>
      <c r="AE10" s="2">
        <v>395</v>
      </c>
      <c r="AF10" s="2" t="s">
        <v>141</v>
      </c>
      <c r="AG10" s="2"/>
      <c r="AH10" s="2"/>
      <c r="AI10" s="2"/>
      <c r="AJ10" s="2"/>
      <c r="AK10" s="2" t="s">
        <v>217</v>
      </c>
      <c r="AL10" s="2" t="s">
        <v>298</v>
      </c>
      <c r="AM10" s="2" t="s">
        <v>298</v>
      </c>
      <c r="AN10" s="2" t="s">
        <v>359</v>
      </c>
      <c r="AO10" s="2" t="s">
        <v>360</v>
      </c>
      <c r="AP10" s="2">
        <v>705348000</v>
      </c>
      <c r="AQ10" s="2">
        <v>705348000</v>
      </c>
      <c r="AR10" s="2" t="s">
        <v>253</v>
      </c>
      <c r="AS10" s="2">
        <v>84439716</v>
      </c>
      <c r="AT10" s="2" t="s">
        <v>361</v>
      </c>
      <c r="AU10" s="2"/>
      <c r="AV10" s="2"/>
      <c r="AW10" s="2" t="s">
        <v>336</v>
      </c>
      <c r="AX10" s="2">
        <v>93049727</v>
      </c>
      <c r="AY10" s="2" t="s">
        <v>362</v>
      </c>
      <c r="AZ10" s="2" t="s">
        <v>363</v>
      </c>
      <c r="BA10" s="2" t="s">
        <v>364</v>
      </c>
      <c r="BB10" s="2">
        <v>0</v>
      </c>
      <c r="BC10" s="3" t="str">
        <f>HYPERLINK("https://patentscout.innography.com/share/YQ8suw4HKMDBbVnxZ1Dmww%3D%3D","KR102477783")</f>
        <v>KR102477783</v>
      </c>
      <c r="BD10" s="2" t="s">
        <v>365</v>
      </c>
      <c r="BE10" s="2" t="s">
        <v>366</v>
      </c>
      <c r="BF10" s="2" t="s">
        <v>367</v>
      </c>
      <c r="BG10" s="2" t="str">
        <f>HYPERLINK("https://patentscout.innography.com/share/YQ8suw4HKMDBbVnxZ1Dmww%3D%3D/download", "Download PDF")</f>
        <v>Download PDF</v>
      </c>
      <c r="BH10" s="2" t="s">
        <v>368</v>
      </c>
      <c r="BI10" s="2"/>
      <c r="BJ10" s="2" t="s">
        <v>369</v>
      </c>
      <c r="BK10" s="2" t="s">
        <v>369</v>
      </c>
      <c r="BL10" s="2" t="s">
        <v>369</v>
      </c>
      <c r="BM10" s="2"/>
      <c r="BN10" s="2"/>
      <c r="BO10" s="2"/>
      <c r="BP10" s="2"/>
      <c r="BQ10" s="2"/>
      <c r="BR10" s="2"/>
      <c r="BS10" s="2"/>
      <c r="BT10" s="2"/>
      <c r="BU10" s="2"/>
      <c r="BV10" s="2"/>
      <c r="BW10" s="2"/>
      <c r="BX10" s="2"/>
      <c r="BY10" s="2"/>
      <c r="BZ10" s="2"/>
      <c r="CA10" s="2"/>
      <c r="CB10" s="2"/>
      <c r="CC10" s="2" t="s">
        <v>243</v>
      </c>
      <c r="CD10" s="2" t="str">
        <f>HYPERLINK("https://patentscout.innography.com/share/YQ8suw4HKMDBbVnxZ1Dmww%3D%3D", "Innography Link")</f>
        <v>Innography Link</v>
      </c>
      <c r="CE10" s="2"/>
      <c r="CF10" s="2"/>
      <c r="CG10" s="2"/>
      <c r="CH10" s="2"/>
      <c r="CI10" s="2"/>
      <c r="CK10" s="2" t="s">
        <v>370</v>
      </c>
      <c r="CL10" s="2" t="s">
        <v>371</v>
      </c>
      <c r="CM10" s="2" t="s">
        <v>372</v>
      </c>
    </row>
    <row r="11" spans="1:125" ht="152" customHeight="1" x14ac:dyDescent="0.45">
      <c r="A11" s="2">
        <v>16</v>
      </c>
      <c r="B11" s="2">
        <v>3</v>
      </c>
      <c r="C11" s="2" t="s">
        <v>373</v>
      </c>
      <c r="D11" s="2" t="s">
        <v>374</v>
      </c>
      <c r="E11" s="2" t="s">
        <v>375</v>
      </c>
      <c r="F11" s="2" t="s">
        <v>376</v>
      </c>
      <c r="G11" s="2" t="s">
        <v>375</v>
      </c>
      <c r="H11" s="2" t="s">
        <v>377</v>
      </c>
      <c r="I11" s="2" t="s">
        <v>377</v>
      </c>
      <c r="J11" s="2" t="s">
        <v>376</v>
      </c>
      <c r="K11" s="2" t="s">
        <v>375</v>
      </c>
      <c r="L11" s="2" t="s">
        <v>375</v>
      </c>
      <c r="M11" s="2" t="s">
        <v>378</v>
      </c>
      <c r="N11" s="2" t="s">
        <v>379</v>
      </c>
      <c r="O11" s="2" t="s">
        <v>380</v>
      </c>
      <c r="P11" s="2" t="s">
        <v>381</v>
      </c>
      <c r="Q11" s="2" t="s">
        <v>382</v>
      </c>
      <c r="R11" s="2" t="s">
        <v>382</v>
      </c>
      <c r="S11" s="2" t="s">
        <v>383</v>
      </c>
      <c r="T11" s="2">
        <v>87</v>
      </c>
      <c r="U11" s="2">
        <v>57</v>
      </c>
      <c r="V11" s="2" t="s">
        <v>384</v>
      </c>
      <c r="W11" s="2" t="s">
        <v>385</v>
      </c>
      <c r="X11" s="2">
        <v>2173</v>
      </c>
      <c r="Y11" s="2" t="s">
        <v>386</v>
      </c>
      <c r="Z11" s="2" t="s">
        <v>387</v>
      </c>
      <c r="AA11" s="2" t="s">
        <v>388</v>
      </c>
      <c r="AB11" s="2">
        <v>20</v>
      </c>
      <c r="AC11" s="2" t="s">
        <v>139</v>
      </c>
      <c r="AD11" s="2" t="s">
        <v>389</v>
      </c>
      <c r="AE11" s="2">
        <v>85</v>
      </c>
      <c r="AF11" s="2" t="s">
        <v>180</v>
      </c>
      <c r="AG11" s="2"/>
      <c r="AH11" s="2"/>
      <c r="AI11" s="2" t="s">
        <v>390</v>
      </c>
      <c r="AJ11" s="2"/>
      <c r="AK11" s="2" t="s">
        <v>142</v>
      </c>
      <c r="AL11" s="2" t="s">
        <v>391</v>
      </c>
      <c r="AM11" s="2" t="s">
        <v>392</v>
      </c>
      <c r="AN11" s="2" t="s">
        <v>251</v>
      </c>
      <c r="AO11" s="2" t="s">
        <v>251</v>
      </c>
      <c r="AP11" s="2">
        <v>715730000</v>
      </c>
      <c r="AQ11" s="2">
        <v>715730000</v>
      </c>
      <c r="AR11" s="2" t="s">
        <v>185</v>
      </c>
      <c r="AS11" s="2">
        <v>40845568</v>
      </c>
      <c r="AT11" s="2" t="s">
        <v>393</v>
      </c>
      <c r="AU11" s="2"/>
      <c r="AV11" s="2"/>
      <c r="AW11" s="2" t="s">
        <v>148</v>
      </c>
      <c r="AX11" s="2">
        <v>31691399</v>
      </c>
      <c r="AY11" s="2" t="s">
        <v>394</v>
      </c>
      <c r="AZ11" s="2" t="s">
        <v>395</v>
      </c>
      <c r="BA11" s="2" t="s">
        <v>396</v>
      </c>
      <c r="BB11" s="2">
        <v>0</v>
      </c>
      <c r="BC11" s="3" t="str">
        <f>HYPERLINK("https://patentscout.innography.com/share/0_DFMySzkuhYpMJ4G2PsDw%3D%3D","US20090177969")</f>
        <v>US20090177969</v>
      </c>
      <c r="BD11" s="2" t="s">
        <v>397</v>
      </c>
      <c r="BE11" s="2" t="s">
        <v>398</v>
      </c>
      <c r="BF11" s="2" t="s">
        <v>399</v>
      </c>
      <c r="BG11" s="2" t="str">
        <f>HYPERLINK("https://patentscout.innography.com/share/0_DFMySzkuhYpMJ4G2PsDw%3D%3D/download", "Download PDF")</f>
        <v>Download PDF</v>
      </c>
      <c r="BH11" s="2" t="s">
        <v>400</v>
      </c>
      <c r="BI11" s="2"/>
      <c r="BJ11" s="2" t="s">
        <v>401</v>
      </c>
      <c r="BK11" s="2" t="s">
        <v>401</v>
      </c>
      <c r="BL11" s="2" t="s">
        <v>401</v>
      </c>
      <c r="BM11" s="2" t="s">
        <v>313</v>
      </c>
      <c r="BN11" s="2" t="s">
        <v>402</v>
      </c>
      <c r="BO11" s="2"/>
      <c r="BP11" s="2"/>
      <c r="BQ11" s="2" t="s">
        <v>403</v>
      </c>
      <c r="BR11" s="2"/>
      <c r="BS11" s="2" t="s">
        <v>404</v>
      </c>
      <c r="BT11" s="2" t="s">
        <v>405</v>
      </c>
      <c r="BU11" s="2"/>
      <c r="BV11" s="2" t="s">
        <v>406</v>
      </c>
      <c r="BW11" s="2" t="s">
        <v>204</v>
      </c>
      <c r="BX11" s="2"/>
      <c r="BY11" s="2"/>
      <c r="BZ11" s="2"/>
      <c r="CA11" s="2"/>
      <c r="CB11" s="2"/>
      <c r="CC11" s="2" t="s">
        <v>158</v>
      </c>
      <c r="CD11" s="2" t="str">
        <f>HYPERLINK("https://patentscout.innography.com/share/0_DFMySzkuhYpMJ4G2PsDw%3D%3D", "Innography Link")</f>
        <v>Innography Link</v>
      </c>
      <c r="CE11" s="2"/>
      <c r="CF11" s="2"/>
      <c r="CG11" s="2"/>
      <c r="CH11" s="2"/>
      <c r="CI11" s="2"/>
      <c r="CK11" s="2" t="s">
        <v>407</v>
      </c>
      <c r="CL11" s="2" t="s">
        <v>408</v>
      </c>
      <c r="CM11" s="2" t="s">
        <v>409</v>
      </c>
      <c r="CN11" s="2" t="s">
        <v>410</v>
      </c>
    </row>
    <row r="12" spans="1:125" ht="152" customHeight="1" x14ac:dyDescent="0.45">
      <c r="A12" s="2">
        <v>0</v>
      </c>
      <c r="B12" s="2">
        <v>3</v>
      </c>
      <c r="C12" s="2" t="s">
        <v>373</v>
      </c>
      <c r="D12" s="2"/>
      <c r="E12" s="2" t="s">
        <v>375</v>
      </c>
      <c r="F12" s="2" t="s">
        <v>376</v>
      </c>
      <c r="G12" s="2" t="s">
        <v>376</v>
      </c>
      <c r="H12" s="2" t="s">
        <v>377</v>
      </c>
      <c r="I12" s="2" t="s">
        <v>377</v>
      </c>
      <c r="J12" s="2" t="s">
        <v>411</v>
      </c>
      <c r="K12" s="2" t="s">
        <v>375</v>
      </c>
      <c r="L12" s="2" t="s">
        <v>375</v>
      </c>
      <c r="M12" s="2" t="s">
        <v>378</v>
      </c>
      <c r="N12" s="2" t="s">
        <v>379</v>
      </c>
      <c r="O12" s="2" t="s">
        <v>380</v>
      </c>
      <c r="P12" s="2" t="s">
        <v>381</v>
      </c>
      <c r="Q12" s="2" t="s">
        <v>382</v>
      </c>
      <c r="R12" s="2" t="s">
        <v>382</v>
      </c>
      <c r="S12" s="2" t="s">
        <v>381</v>
      </c>
      <c r="T12" s="2">
        <v>87</v>
      </c>
      <c r="U12" s="2">
        <v>35</v>
      </c>
      <c r="V12" s="2" t="s">
        <v>384</v>
      </c>
      <c r="W12" s="2" t="s">
        <v>385</v>
      </c>
      <c r="X12" s="2">
        <v>2173</v>
      </c>
      <c r="Y12" s="2" t="s">
        <v>386</v>
      </c>
      <c r="Z12" s="2" t="s">
        <v>412</v>
      </c>
      <c r="AA12" s="2" t="s">
        <v>413</v>
      </c>
      <c r="AB12" s="2">
        <v>16</v>
      </c>
      <c r="AC12" s="2" t="s">
        <v>250</v>
      </c>
      <c r="AD12" s="2" t="s">
        <v>389</v>
      </c>
      <c r="AE12" s="2">
        <v>110</v>
      </c>
      <c r="AF12" s="2" t="s">
        <v>180</v>
      </c>
      <c r="AG12" s="2"/>
      <c r="AH12" s="2"/>
      <c r="AI12" s="2" t="s">
        <v>401</v>
      </c>
      <c r="AJ12" s="2"/>
      <c r="AK12" s="2" t="s">
        <v>142</v>
      </c>
      <c r="AL12" s="2" t="s">
        <v>391</v>
      </c>
      <c r="AM12" s="2" t="s">
        <v>392</v>
      </c>
      <c r="AN12" s="2" t="s">
        <v>251</v>
      </c>
      <c r="AO12" s="2" t="s">
        <v>414</v>
      </c>
      <c r="AP12" s="2">
        <v>715763000</v>
      </c>
      <c r="AQ12" s="2">
        <v>715763000</v>
      </c>
      <c r="AR12" s="2" t="s">
        <v>415</v>
      </c>
      <c r="AS12" s="2">
        <v>40845568</v>
      </c>
      <c r="AT12" s="2" t="s">
        <v>393</v>
      </c>
      <c r="AU12" s="2"/>
      <c r="AV12" s="2"/>
      <c r="AW12" s="2" t="s">
        <v>416</v>
      </c>
      <c r="AX12" s="2">
        <v>31691399</v>
      </c>
      <c r="AY12" s="2" t="s">
        <v>394</v>
      </c>
      <c r="AZ12" s="2" t="s">
        <v>395</v>
      </c>
      <c r="BA12" s="2" t="s">
        <v>255</v>
      </c>
      <c r="BB12" s="2">
        <v>0</v>
      </c>
      <c r="BC12" s="3" t="str">
        <f>HYPERLINK("https://patentscout.innography.com/share/5aIt55uLGsgI27T0AconFw%3D%3D","US9165426")</f>
        <v>US9165426</v>
      </c>
      <c r="BD12" s="2" t="s">
        <v>417</v>
      </c>
      <c r="BE12" s="2" t="s">
        <v>398</v>
      </c>
      <c r="BF12" s="2" t="s">
        <v>418</v>
      </c>
      <c r="BG12" s="2" t="str">
        <f>HYPERLINK("https://patentscout.innography.com/share/5aIt55uLGsgI27T0AconFw%3D%3D/download", "Download PDF")</f>
        <v>Download PDF</v>
      </c>
      <c r="BH12" s="2" t="s">
        <v>419</v>
      </c>
      <c r="BI12" s="2"/>
      <c r="BJ12" s="2" t="s">
        <v>401</v>
      </c>
      <c r="BK12" s="2" t="s">
        <v>401</v>
      </c>
      <c r="BL12" s="2" t="s">
        <v>401</v>
      </c>
      <c r="BM12" s="2" t="s">
        <v>313</v>
      </c>
      <c r="BN12" s="2" t="s">
        <v>402</v>
      </c>
      <c r="BO12" s="2"/>
      <c r="BP12" s="2"/>
      <c r="BQ12" s="2" t="s">
        <v>403</v>
      </c>
      <c r="BR12" s="2"/>
      <c r="BS12" s="2" t="s">
        <v>404</v>
      </c>
      <c r="BT12" s="2" t="s">
        <v>405</v>
      </c>
      <c r="BU12" s="2"/>
      <c r="BV12" s="2" t="s">
        <v>406</v>
      </c>
      <c r="BW12" s="2" t="s">
        <v>204</v>
      </c>
      <c r="BX12" s="2"/>
      <c r="BY12" s="2"/>
      <c r="BZ12" s="2"/>
      <c r="CA12" s="2"/>
      <c r="CB12" s="2"/>
      <c r="CC12" s="2" t="s">
        <v>259</v>
      </c>
      <c r="CD12" s="2" t="str">
        <f>HYPERLINK("https://patentscout.innography.com/share/5aIt55uLGsgI27T0AconFw%3D%3D", "Innography Link")</f>
        <v>Innography Link</v>
      </c>
      <c r="CE12" s="2"/>
      <c r="CF12" s="2"/>
      <c r="CG12" s="2"/>
      <c r="CH12" s="2"/>
      <c r="CI12" s="2"/>
      <c r="CK12" s="2" t="s">
        <v>420</v>
      </c>
      <c r="CL12" s="2" t="s">
        <v>421</v>
      </c>
      <c r="CM12" s="2" t="s">
        <v>422</v>
      </c>
      <c r="CN12" s="2" t="s">
        <v>423</v>
      </c>
    </row>
    <row r="13" spans="1:125" ht="152" customHeight="1" x14ac:dyDescent="0.45">
      <c r="A13" s="2">
        <v>0</v>
      </c>
      <c r="B13" s="2">
        <v>7</v>
      </c>
      <c r="C13" s="2" t="s">
        <v>424</v>
      </c>
      <c r="D13" s="2"/>
      <c r="E13" s="2"/>
      <c r="F13" s="2" t="s">
        <v>425</v>
      </c>
      <c r="G13" s="2" t="s">
        <v>425</v>
      </c>
      <c r="H13" s="2" t="s">
        <v>426</v>
      </c>
      <c r="I13" s="2" t="s">
        <v>426</v>
      </c>
      <c r="J13" s="2" t="s">
        <v>427</v>
      </c>
      <c r="K13" s="2" t="s">
        <v>425</v>
      </c>
      <c r="L13" s="2" t="s">
        <v>425</v>
      </c>
      <c r="M13" s="2" t="s">
        <v>428</v>
      </c>
      <c r="N13" s="2" t="s">
        <v>429</v>
      </c>
      <c r="O13" s="2"/>
      <c r="P13" s="2"/>
      <c r="Q13" s="2"/>
      <c r="R13" s="2"/>
      <c r="S13" s="2"/>
      <c r="T13" s="2">
        <v>87</v>
      </c>
      <c r="U13" s="2">
        <v>9</v>
      </c>
      <c r="V13" s="2" t="s">
        <v>430</v>
      </c>
      <c r="W13" s="2"/>
      <c r="X13" s="2"/>
      <c r="Y13" s="2"/>
      <c r="Z13" s="2" t="s">
        <v>431</v>
      </c>
      <c r="AA13" s="2" t="s">
        <v>432</v>
      </c>
      <c r="AB13" s="2">
        <v>14</v>
      </c>
      <c r="AC13" s="2" t="s">
        <v>235</v>
      </c>
      <c r="AD13" s="2"/>
      <c r="AE13" s="2">
        <v>255</v>
      </c>
      <c r="AF13" s="2" t="s">
        <v>141</v>
      </c>
      <c r="AG13" s="2"/>
      <c r="AH13" s="2"/>
      <c r="AI13" s="2"/>
      <c r="AJ13" s="2"/>
      <c r="AK13" s="2" t="s">
        <v>217</v>
      </c>
      <c r="AL13" s="2" t="s">
        <v>298</v>
      </c>
      <c r="AM13" s="2" t="s">
        <v>298</v>
      </c>
      <c r="AN13" s="2" t="s">
        <v>359</v>
      </c>
      <c r="AO13" s="2" t="s">
        <v>433</v>
      </c>
      <c r="AP13" s="2">
        <v>705348000</v>
      </c>
      <c r="AQ13" s="2">
        <v>705348000</v>
      </c>
      <c r="AR13" s="2" t="s">
        <v>253</v>
      </c>
      <c r="AS13" s="2">
        <v>84441162</v>
      </c>
      <c r="AT13" s="2" t="s">
        <v>434</v>
      </c>
      <c r="AU13" s="2"/>
      <c r="AV13" s="2"/>
      <c r="AW13" s="2" t="s">
        <v>336</v>
      </c>
      <c r="AX13" s="2">
        <v>93049172</v>
      </c>
      <c r="AY13" s="2" t="s">
        <v>435</v>
      </c>
      <c r="AZ13" s="2" t="s">
        <v>436</v>
      </c>
      <c r="BA13" s="2" t="s">
        <v>437</v>
      </c>
      <c r="BB13" s="2">
        <v>0</v>
      </c>
      <c r="BC13" s="3" t="str">
        <f>HYPERLINK("https://patentscout.innography.com/share/Kzfs9Ki27mw3q3PhBGJz2w%3D%3D","KR102474653")</f>
        <v>KR102474653</v>
      </c>
      <c r="BD13" s="2" t="s">
        <v>438</v>
      </c>
      <c r="BE13" s="2" t="s">
        <v>439</v>
      </c>
      <c r="BF13" s="2" t="s">
        <v>440</v>
      </c>
      <c r="BG13" s="2" t="str">
        <f>HYPERLINK("https://patentscout.innography.com/share/Kzfs9Ki27mw3q3PhBGJz2w%3D%3D/download", "Download PDF")</f>
        <v>Download PDF</v>
      </c>
      <c r="BH13" s="2" t="s">
        <v>441</v>
      </c>
      <c r="BI13" s="2"/>
      <c r="BJ13" s="2" t="s">
        <v>442</v>
      </c>
      <c r="BK13" s="2" t="s">
        <v>442</v>
      </c>
      <c r="BL13" s="2" t="s">
        <v>442</v>
      </c>
      <c r="BM13" s="2"/>
      <c r="BN13" s="2"/>
      <c r="BO13" s="2"/>
      <c r="BP13" s="2"/>
      <c r="BQ13" s="2"/>
      <c r="BR13" s="2"/>
      <c r="BS13" s="2"/>
      <c r="BT13" s="2"/>
      <c r="BU13" s="2"/>
      <c r="BV13" s="2"/>
      <c r="BW13" s="2"/>
      <c r="BX13" s="2"/>
      <c r="BY13" s="2"/>
      <c r="BZ13" s="2"/>
      <c r="CA13" s="2"/>
      <c r="CB13" s="2"/>
      <c r="CC13" s="2" t="s">
        <v>243</v>
      </c>
      <c r="CD13" s="2" t="str">
        <f>HYPERLINK("https://patentscout.innography.com/share/Kzfs9Ki27mw3q3PhBGJz2w%3D%3D", "Innography Link")</f>
        <v>Innography Link</v>
      </c>
      <c r="CE13" s="2"/>
      <c r="CF13" s="2"/>
      <c r="CG13" s="2"/>
      <c r="CH13" s="2"/>
      <c r="CI13" s="2"/>
      <c r="CK13" s="2" t="s">
        <v>443</v>
      </c>
      <c r="CL13" s="2" t="s">
        <v>444</v>
      </c>
    </row>
    <row r="14" spans="1:125" ht="152" customHeight="1" x14ac:dyDescent="0.45">
      <c r="A14" s="2">
        <v>20</v>
      </c>
      <c r="B14" s="2">
        <v>7</v>
      </c>
      <c r="C14" s="2" t="s">
        <v>445</v>
      </c>
      <c r="D14" s="2" t="s">
        <v>446</v>
      </c>
      <c r="E14" s="2" t="s">
        <v>447</v>
      </c>
      <c r="F14" s="2"/>
      <c r="G14" s="2" t="s">
        <v>447</v>
      </c>
      <c r="H14" s="2" t="s">
        <v>448</v>
      </c>
      <c r="I14" s="2" t="s">
        <v>449</v>
      </c>
      <c r="J14" s="2" t="s">
        <v>450</v>
      </c>
      <c r="K14" s="2" t="s">
        <v>447</v>
      </c>
      <c r="L14" s="2" t="s">
        <v>447</v>
      </c>
      <c r="M14" s="2" t="s">
        <v>451</v>
      </c>
      <c r="N14" s="2" t="s">
        <v>452</v>
      </c>
      <c r="O14" s="2" t="s">
        <v>453</v>
      </c>
      <c r="P14" s="2" t="s">
        <v>454</v>
      </c>
      <c r="Q14" s="2" t="s">
        <v>455</v>
      </c>
      <c r="R14" s="2" t="s">
        <v>455</v>
      </c>
      <c r="S14" s="2" t="s">
        <v>456</v>
      </c>
      <c r="T14" s="2">
        <v>87</v>
      </c>
      <c r="U14" s="2">
        <v>56</v>
      </c>
      <c r="V14" s="2" t="s">
        <v>457</v>
      </c>
      <c r="W14" s="2" t="s">
        <v>458</v>
      </c>
      <c r="X14" s="2">
        <v>3622</v>
      </c>
      <c r="Y14" s="2" t="s">
        <v>459</v>
      </c>
      <c r="Z14" s="2" t="s">
        <v>460</v>
      </c>
      <c r="AA14" s="2" t="s">
        <v>461</v>
      </c>
      <c r="AB14" s="2">
        <v>20</v>
      </c>
      <c r="AC14" s="2" t="s">
        <v>139</v>
      </c>
      <c r="AD14" s="2" t="s">
        <v>462</v>
      </c>
      <c r="AE14" s="2">
        <v>85</v>
      </c>
      <c r="AF14" s="2" t="s">
        <v>180</v>
      </c>
      <c r="AG14" s="2"/>
      <c r="AH14" s="2"/>
      <c r="AI14" s="2"/>
      <c r="AJ14" s="2"/>
      <c r="AK14" s="2" t="s">
        <v>142</v>
      </c>
      <c r="AL14" s="2" t="s">
        <v>271</v>
      </c>
      <c r="AM14" s="2" t="s">
        <v>463</v>
      </c>
      <c r="AN14" s="2" t="s">
        <v>251</v>
      </c>
      <c r="AO14" s="2" t="s">
        <v>464</v>
      </c>
      <c r="AP14" s="2">
        <v>705014690</v>
      </c>
      <c r="AQ14" s="2" t="s">
        <v>465</v>
      </c>
      <c r="AR14" s="2" t="s">
        <v>185</v>
      </c>
      <c r="AS14" s="2">
        <v>42679072</v>
      </c>
      <c r="AT14" s="2" t="s">
        <v>466</v>
      </c>
      <c r="AU14" s="2"/>
      <c r="AV14" s="2"/>
      <c r="AW14" s="2" t="s">
        <v>148</v>
      </c>
      <c r="AX14" s="2">
        <v>34527789</v>
      </c>
      <c r="AY14" s="2" t="s">
        <v>467</v>
      </c>
      <c r="AZ14" s="2" t="s">
        <v>468</v>
      </c>
      <c r="BA14" s="2" t="s">
        <v>306</v>
      </c>
      <c r="BB14" s="2">
        <v>0</v>
      </c>
      <c r="BC14" s="3" t="str">
        <f>HYPERLINK("https://patentscout.innography.com/share/Jrmbf74EvfuDlRM4NTxYTQ%3D%3D","US20100228633")</f>
        <v>US20100228633</v>
      </c>
      <c r="BD14" s="2" t="s">
        <v>469</v>
      </c>
      <c r="BE14" s="2" t="s">
        <v>470</v>
      </c>
      <c r="BF14" s="2" t="s">
        <v>471</v>
      </c>
      <c r="BG14" s="2" t="str">
        <f>HYPERLINK("https://patentscout.innography.com/share/Jrmbf74EvfuDlRM4NTxYTQ%3D%3D/download", "Download PDF")</f>
        <v>Download PDF</v>
      </c>
      <c r="BH14" s="2" t="s">
        <v>472</v>
      </c>
      <c r="BI14" s="2"/>
      <c r="BJ14" s="2" t="s">
        <v>467</v>
      </c>
      <c r="BK14" s="2" t="s">
        <v>467</v>
      </c>
      <c r="BL14" s="2" t="s">
        <v>467</v>
      </c>
      <c r="BM14" s="2"/>
      <c r="BN14" s="2"/>
      <c r="BO14" s="2"/>
      <c r="BP14" s="2"/>
      <c r="BQ14" s="2"/>
      <c r="BR14" s="2"/>
      <c r="BS14" s="2"/>
      <c r="BT14" s="2"/>
      <c r="BU14" s="2" t="s">
        <v>473</v>
      </c>
      <c r="BV14" s="2"/>
      <c r="BW14" s="2"/>
      <c r="BX14" s="2"/>
      <c r="BY14" s="2"/>
      <c r="BZ14" s="2"/>
      <c r="CA14" s="2"/>
      <c r="CB14" s="2"/>
      <c r="CC14" s="2" t="s">
        <v>158</v>
      </c>
      <c r="CD14" s="2" t="str">
        <f>HYPERLINK("https://patentscout.innography.com/share/Jrmbf74EvfuDlRM4NTxYTQ%3D%3D", "Innography Link")</f>
        <v>Innography Link</v>
      </c>
      <c r="CE14" s="2"/>
      <c r="CF14" s="2"/>
      <c r="CG14" s="2"/>
      <c r="CH14" s="2"/>
      <c r="CI14" s="2"/>
      <c r="CK14" s="2" t="s">
        <v>474</v>
      </c>
      <c r="CL14" s="2" t="s">
        <v>475</v>
      </c>
      <c r="CM14" s="2" t="s">
        <v>476</v>
      </c>
      <c r="CN14" s="2" t="s">
        <v>477</v>
      </c>
    </row>
    <row r="15" spans="1:125" ht="152" customHeight="1" x14ac:dyDescent="0.45">
      <c r="A15" s="2">
        <v>0</v>
      </c>
      <c r="B15" s="2">
        <v>3</v>
      </c>
      <c r="C15" s="2" t="s">
        <v>478</v>
      </c>
      <c r="D15" s="2"/>
      <c r="E15" s="2"/>
      <c r="F15" s="2" t="s">
        <v>479</v>
      </c>
      <c r="G15" s="2" t="s">
        <v>479</v>
      </c>
      <c r="H15" s="2" t="s">
        <v>325</v>
      </c>
      <c r="I15" s="2" t="s">
        <v>325</v>
      </c>
      <c r="J15" s="2" t="s">
        <v>326</v>
      </c>
      <c r="K15" s="2" t="s">
        <v>479</v>
      </c>
      <c r="L15" s="2" t="s">
        <v>479</v>
      </c>
      <c r="M15" s="2" t="s">
        <v>480</v>
      </c>
      <c r="N15" s="2" t="s">
        <v>481</v>
      </c>
      <c r="O15" s="2"/>
      <c r="P15" s="2"/>
      <c r="Q15" s="2"/>
      <c r="R15" s="2"/>
      <c r="S15" s="2"/>
      <c r="T15" s="2">
        <v>87</v>
      </c>
      <c r="U15" s="2">
        <v>6</v>
      </c>
      <c r="V15" s="2" t="s">
        <v>482</v>
      </c>
      <c r="W15" s="2"/>
      <c r="X15" s="2"/>
      <c r="Y15" s="2"/>
      <c r="Z15" s="2" t="s">
        <v>483</v>
      </c>
      <c r="AA15" s="2" t="s">
        <v>484</v>
      </c>
      <c r="AB15" s="2">
        <v>10</v>
      </c>
      <c r="AC15" s="2" t="s">
        <v>235</v>
      </c>
      <c r="AD15" s="2"/>
      <c r="AE15" s="2">
        <v>485</v>
      </c>
      <c r="AF15" s="2" t="s">
        <v>141</v>
      </c>
      <c r="AG15" s="2"/>
      <c r="AH15" s="2"/>
      <c r="AI15" s="2"/>
      <c r="AJ15" s="2"/>
      <c r="AK15" s="2" t="s">
        <v>217</v>
      </c>
      <c r="AL15" s="2" t="s">
        <v>485</v>
      </c>
      <c r="AM15" s="2" t="s">
        <v>485</v>
      </c>
      <c r="AN15" s="2" t="s">
        <v>486</v>
      </c>
      <c r="AO15" s="2" t="s">
        <v>487</v>
      </c>
      <c r="AP15" s="2">
        <v>705348000</v>
      </c>
      <c r="AQ15" s="2">
        <v>705348000</v>
      </c>
      <c r="AR15" s="2" t="s">
        <v>253</v>
      </c>
      <c r="AS15" s="2">
        <v>84440699</v>
      </c>
      <c r="AT15" s="2" t="s">
        <v>488</v>
      </c>
      <c r="AU15" s="2"/>
      <c r="AV15" s="2"/>
      <c r="AW15" s="2" t="s">
        <v>336</v>
      </c>
      <c r="AX15" s="2">
        <v>93049137</v>
      </c>
      <c r="AY15" s="2" t="s">
        <v>489</v>
      </c>
      <c r="AZ15" s="2" t="s">
        <v>490</v>
      </c>
      <c r="BA15" s="2" t="s">
        <v>339</v>
      </c>
      <c r="BB15" s="2">
        <v>0</v>
      </c>
      <c r="BC15" s="3" t="str">
        <f>HYPERLINK("https://patentscout.innography.com/share/MrzxCcUcH1qtygnVd7W4ZA%3D%3D","KR102473540")</f>
        <v>KR102473540</v>
      </c>
      <c r="BD15" s="2" t="s">
        <v>491</v>
      </c>
      <c r="BE15" s="2" t="s">
        <v>492</v>
      </c>
      <c r="BF15" s="2" t="s">
        <v>493</v>
      </c>
      <c r="BG15" s="2" t="str">
        <f>HYPERLINK("https://patentscout.innography.com/share/MrzxCcUcH1qtygnVd7W4ZA%3D%3D/download", "Download PDF")</f>
        <v>Download PDF</v>
      </c>
      <c r="BH15" s="2" t="s">
        <v>494</v>
      </c>
      <c r="BI15" s="2"/>
      <c r="BJ15" s="2" t="s">
        <v>495</v>
      </c>
      <c r="BK15" s="2" t="s">
        <v>495</v>
      </c>
      <c r="BL15" s="2" t="s">
        <v>495</v>
      </c>
      <c r="BM15" s="2"/>
      <c r="BN15" s="2"/>
      <c r="BO15" s="2"/>
      <c r="BP15" s="2"/>
      <c r="BQ15" s="2"/>
      <c r="BR15" s="2"/>
      <c r="BS15" s="2"/>
      <c r="BT15" s="2"/>
      <c r="BU15" s="2"/>
      <c r="BV15" s="2"/>
      <c r="BW15" s="2"/>
      <c r="BX15" s="2"/>
      <c r="BY15" s="2"/>
      <c r="BZ15" s="2"/>
      <c r="CA15" s="2"/>
      <c r="CB15" s="2"/>
      <c r="CC15" s="2" t="s">
        <v>243</v>
      </c>
      <c r="CD15" s="2" t="str">
        <f>HYPERLINK("https://patentscout.innography.com/share/MrzxCcUcH1qtygnVd7W4ZA%3D%3D", "Innography Link")</f>
        <v>Innography Link</v>
      </c>
      <c r="CE15" s="2"/>
      <c r="CF15" s="2"/>
      <c r="CG15" s="2"/>
      <c r="CH15" s="2"/>
      <c r="CI15" s="2"/>
      <c r="CK15" s="2" t="s">
        <v>496</v>
      </c>
      <c r="CL15" s="2" t="s">
        <v>497</v>
      </c>
      <c r="CM15" s="2" t="s">
        <v>498</v>
      </c>
    </row>
    <row r="16" spans="1:125" ht="152" customHeight="1" x14ac:dyDescent="0.45">
      <c r="A16" s="2">
        <v>8</v>
      </c>
      <c r="B16" s="2">
        <v>0</v>
      </c>
      <c r="C16" s="2"/>
      <c r="D16" s="2" t="s">
        <v>499</v>
      </c>
      <c r="E16" s="2" t="s">
        <v>500</v>
      </c>
      <c r="F16" s="2"/>
      <c r="G16" s="2" t="s">
        <v>500</v>
      </c>
      <c r="H16" s="2" t="s">
        <v>501</v>
      </c>
      <c r="I16" s="2" t="s">
        <v>501</v>
      </c>
      <c r="J16" s="2" t="s">
        <v>502</v>
      </c>
      <c r="K16" s="2" t="s">
        <v>500</v>
      </c>
      <c r="L16" s="2" t="s">
        <v>500</v>
      </c>
      <c r="M16" s="2" t="s">
        <v>503</v>
      </c>
      <c r="N16" s="2" t="s">
        <v>504</v>
      </c>
      <c r="O16" s="2"/>
      <c r="P16" s="2" t="s">
        <v>505</v>
      </c>
      <c r="Q16" s="2" t="s">
        <v>505</v>
      </c>
      <c r="R16" s="2" t="s">
        <v>506</v>
      </c>
      <c r="S16" s="2" t="s">
        <v>505</v>
      </c>
      <c r="T16" s="2">
        <v>87</v>
      </c>
      <c r="U16" s="2">
        <v>63</v>
      </c>
      <c r="V16" s="2" t="s">
        <v>507</v>
      </c>
      <c r="W16" s="2"/>
      <c r="X16" s="2"/>
      <c r="Y16" s="2"/>
      <c r="Z16" s="2" t="s">
        <v>508</v>
      </c>
      <c r="AA16" s="2" t="s">
        <v>508</v>
      </c>
      <c r="AB16" s="2">
        <v>4</v>
      </c>
      <c r="AC16" s="2" t="s">
        <v>214</v>
      </c>
      <c r="AD16" s="2" t="s">
        <v>509</v>
      </c>
      <c r="AE16" s="2">
        <v>120</v>
      </c>
      <c r="AF16" s="2" t="s">
        <v>141</v>
      </c>
      <c r="AG16" s="2"/>
      <c r="AH16" s="2"/>
      <c r="AI16" s="2"/>
      <c r="AJ16" s="2"/>
      <c r="AK16" s="2" t="s">
        <v>217</v>
      </c>
      <c r="AL16" s="2" t="s">
        <v>510</v>
      </c>
      <c r="AM16" s="2" t="s">
        <v>511</v>
      </c>
      <c r="AN16" s="2" t="s">
        <v>512</v>
      </c>
      <c r="AO16" s="2" t="s">
        <v>513</v>
      </c>
      <c r="AP16" s="2">
        <v>705348000</v>
      </c>
      <c r="AQ16" s="2">
        <v>705348000</v>
      </c>
      <c r="AR16" s="2" t="s">
        <v>514</v>
      </c>
      <c r="AS16" s="2">
        <v>49980529</v>
      </c>
      <c r="AT16" s="2" t="s">
        <v>515</v>
      </c>
      <c r="AU16" s="2"/>
      <c r="AV16" s="2"/>
      <c r="AW16" s="2" t="s">
        <v>219</v>
      </c>
      <c r="AX16" s="2">
        <v>42911059</v>
      </c>
      <c r="AY16" s="2" t="s">
        <v>516</v>
      </c>
      <c r="AZ16" s="2" t="s">
        <v>517</v>
      </c>
      <c r="BA16" s="2" t="s">
        <v>518</v>
      </c>
      <c r="BB16" s="2">
        <v>0</v>
      </c>
      <c r="BC16" s="3" t="str">
        <f>HYPERLINK("https://patentscout.innography.com/share/dpNIkgfuOf75nY6thFOqQg%3D%3D","KR20130131179")</f>
        <v>KR20130131179</v>
      </c>
      <c r="BD16" s="2" t="s">
        <v>519</v>
      </c>
      <c r="BE16" s="2" t="s">
        <v>520</v>
      </c>
      <c r="BF16" s="2" t="s">
        <v>521</v>
      </c>
      <c r="BG16" s="2" t="str">
        <f>HYPERLINK("https://patentscout.innography.com/share/dpNIkgfuOf75nY6thFOqQg%3D%3D/download", "Download PDF")</f>
        <v>Download PDF</v>
      </c>
      <c r="BH16" s="2" t="s">
        <v>522</v>
      </c>
      <c r="BI16" s="2"/>
      <c r="BJ16" s="2" t="s">
        <v>516</v>
      </c>
      <c r="BK16" s="2" t="s">
        <v>516</v>
      </c>
      <c r="BL16" s="2" t="s">
        <v>516</v>
      </c>
      <c r="BM16" s="2"/>
      <c r="BN16" s="2"/>
      <c r="BO16" s="2"/>
      <c r="BP16" s="2"/>
      <c r="BQ16" s="2"/>
      <c r="BR16" s="2"/>
      <c r="BS16" s="2"/>
      <c r="BT16" s="2"/>
      <c r="BU16" s="2"/>
      <c r="BV16" s="2" t="s">
        <v>523</v>
      </c>
      <c r="BW16" s="2"/>
      <c r="BX16" s="2"/>
      <c r="BY16" s="2"/>
      <c r="BZ16" s="2"/>
      <c r="CA16" s="2"/>
      <c r="CB16" s="2"/>
      <c r="CC16" s="2" t="s">
        <v>228</v>
      </c>
      <c r="CD16" s="2" t="str">
        <f>HYPERLINK("https://patentscout.innography.com/share/dpNIkgfuOf75nY6thFOqQg%3D%3D", "Innography Link")</f>
        <v>Innography Link</v>
      </c>
      <c r="CE16" s="2"/>
      <c r="CF16" s="2"/>
      <c r="CG16" s="2"/>
      <c r="CH16" s="2"/>
      <c r="CI16" s="2"/>
      <c r="CK16" s="2" t="s">
        <v>524</v>
      </c>
    </row>
    <row r="17" spans="1:98" ht="152" customHeight="1" x14ac:dyDescent="0.45">
      <c r="A17" s="2">
        <v>0</v>
      </c>
      <c r="B17" s="2">
        <v>0</v>
      </c>
      <c r="C17" s="2"/>
      <c r="D17" s="2"/>
      <c r="E17" s="2" t="s">
        <v>525</v>
      </c>
      <c r="F17" s="2"/>
      <c r="G17" s="2" t="s">
        <v>525</v>
      </c>
      <c r="H17" s="2" t="s">
        <v>526</v>
      </c>
      <c r="I17" s="2" t="s">
        <v>526</v>
      </c>
      <c r="J17" s="2" t="s">
        <v>527</v>
      </c>
      <c r="K17" s="2" t="s">
        <v>525</v>
      </c>
      <c r="L17" s="2" t="s">
        <v>525</v>
      </c>
      <c r="M17" s="2" t="s">
        <v>528</v>
      </c>
      <c r="N17" s="2" t="s">
        <v>529</v>
      </c>
      <c r="O17" s="2"/>
      <c r="P17" s="2" t="s">
        <v>530</v>
      </c>
      <c r="Q17" s="2" t="s">
        <v>530</v>
      </c>
      <c r="R17" s="2" t="s">
        <v>531</v>
      </c>
      <c r="S17" s="2" t="s">
        <v>530</v>
      </c>
      <c r="T17" s="2">
        <v>87</v>
      </c>
      <c r="U17" s="2">
        <v>10</v>
      </c>
      <c r="V17" s="2" t="s">
        <v>532</v>
      </c>
      <c r="W17" s="2" t="s">
        <v>533</v>
      </c>
      <c r="X17" s="2"/>
      <c r="Y17" s="2"/>
      <c r="Z17" s="2" t="s">
        <v>534</v>
      </c>
      <c r="AA17" s="2" t="s">
        <v>535</v>
      </c>
      <c r="AB17" s="2">
        <v>15</v>
      </c>
      <c r="AC17" s="2" t="s">
        <v>139</v>
      </c>
      <c r="AD17" s="2" t="s">
        <v>536</v>
      </c>
      <c r="AE17" s="2">
        <v>24</v>
      </c>
      <c r="AF17" s="2" t="s">
        <v>141</v>
      </c>
      <c r="AG17" s="2"/>
      <c r="AH17" s="2"/>
      <c r="AI17" s="2"/>
      <c r="AJ17" s="2"/>
      <c r="AK17" s="2" t="s">
        <v>142</v>
      </c>
      <c r="AL17" s="2" t="s">
        <v>537</v>
      </c>
      <c r="AM17" s="2" t="s">
        <v>538</v>
      </c>
      <c r="AN17" s="2" t="s">
        <v>539</v>
      </c>
      <c r="AO17" s="2" t="s">
        <v>540</v>
      </c>
      <c r="AP17" s="2">
        <v>705348000</v>
      </c>
      <c r="AQ17" s="2">
        <v>705348000</v>
      </c>
      <c r="AR17" s="2" t="s">
        <v>541</v>
      </c>
      <c r="AS17" s="2">
        <v>1178014088</v>
      </c>
      <c r="AT17" s="2"/>
      <c r="AU17" s="2"/>
      <c r="AV17" s="2"/>
      <c r="AW17" s="2" t="s">
        <v>148</v>
      </c>
      <c r="AX17" s="2">
        <v>1678014088</v>
      </c>
      <c r="AY17" s="2" t="s">
        <v>542</v>
      </c>
      <c r="AZ17" s="2" t="s">
        <v>543</v>
      </c>
      <c r="BA17" s="2" t="s">
        <v>544</v>
      </c>
      <c r="BB17" s="2">
        <v>0</v>
      </c>
      <c r="BC17" s="3" t="str">
        <f>HYPERLINK("https://patentscout.innography.com/share/eMoXDVpljGXILUBALAXY_Q%3D%3D","US20220414726")</f>
        <v>US20220414726</v>
      </c>
      <c r="BD17" s="2" t="s">
        <v>545</v>
      </c>
      <c r="BE17" s="2"/>
      <c r="BF17" s="2" t="s">
        <v>546</v>
      </c>
      <c r="BG17" s="2" t="str">
        <f>HYPERLINK("https://patentscout.innography.com/share/eMoXDVpljGXILUBALAXY_Q%3D%3D/download", "Download PDF")</f>
        <v>Download PDF</v>
      </c>
      <c r="BH17" s="2" t="s">
        <v>547</v>
      </c>
      <c r="BI17" s="2"/>
      <c r="BJ17" s="2" t="s">
        <v>542</v>
      </c>
      <c r="BK17" s="2" t="s">
        <v>542</v>
      </c>
      <c r="BL17" s="2" t="s">
        <v>542</v>
      </c>
      <c r="BM17" s="2"/>
      <c r="BN17" s="2"/>
      <c r="BO17" s="2"/>
      <c r="BP17" s="2"/>
      <c r="BQ17" s="2"/>
      <c r="BR17" s="2"/>
      <c r="BS17" s="2"/>
      <c r="BT17" s="2"/>
      <c r="BU17" s="2"/>
      <c r="BV17" s="2"/>
      <c r="BW17" s="2"/>
      <c r="BX17" s="2"/>
      <c r="BY17" s="2"/>
      <c r="BZ17" s="2"/>
      <c r="CA17" s="2"/>
      <c r="CB17" s="2"/>
      <c r="CC17" s="2" t="s">
        <v>158</v>
      </c>
      <c r="CD17" s="2" t="str">
        <f>HYPERLINK("https://patentscout.innography.com/share/eMoXDVpljGXILUBALAXY_Q%3D%3D", "Innography Link")</f>
        <v>Innography Link</v>
      </c>
      <c r="CE17" s="2"/>
      <c r="CF17" s="2"/>
      <c r="CG17" s="2"/>
      <c r="CH17" s="2"/>
      <c r="CI17" s="2"/>
      <c r="CK17" s="2" t="s">
        <v>548</v>
      </c>
      <c r="CL17" s="2" t="s">
        <v>549</v>
      </c>
      <c r="CM17" s="2" t="s">
        <v>550</v>
      </c>
    </row>
    <row r="18" spans="1:98" ht="30" customHeight="1" x14ac:dyDescent="0.45">
      <c r="A18" s="2">
        <v>0</v>
      </c>
      <c r="B18" s="2">
        <v>0</v>
      </c>
      <c r="C18" s="2"/>
      <c r="D18" s="2"/>
      <c r="E18" s="2"/>
      <c r="F18" s="2" t="s">
        <v>551</v>
      </c>
      <c r="G18" s="2" t="s">
        <v>551</v>
      </c>
      <c r="H18" s="2" t="s">
        <v>552</v>
      </c>
      <c r="I18" s="2" t="s">
        <v>552</v>
      </c>
      <c r="J18" s="2" t="s">
        <v>553</v>
      </c>
      <c r="K18" s="2" t="s">
        <v>551</v>
      </c>
      <c r="L18" s="2" t="s">
        <v>551</v>
      </c>
      <c r="M18" s="2" t="s">
        <v>554</v>
      </c>
      <c r="N18" s="2" t="s">
        <v>555</v>
      </c>
      <c r="O18" s="2"/>
      <c r="P18" s="2" t="s">
        <v>556</v>
      </c>
      <c r="Q18" s="2" t="s">
        <v>557</v>
      </c>
      <c r="R18" s="2" t="s">
        <v>558</v>
      </c>
      <c r="S18" s="2" t="s">
        <v>556</v>
      </c>
      <c r="T18" s="2">
        <v>87</v>
      </c>
      <c r="U18" s="2">
        <v>9</v>
      </c>
      <c r="V18" s="2" t="s">
        <v>559</v>
      </c>
      <c r="W18" s="2"/>
      <c r="X18" s="2"/>
      <c r="Y18" s="2"/>
      <c r="Z18" s="2" t="s">
        <v>560</v>
      </c>
      <c r="AA18" s="2" t="s">
        <v>561</v>
      </c>
      <c r="AB18" s="2">
        <v>14</v>
      </c>
      <c r="AC18" s="2" t="s">
        <v>562</v>
      </c>
      <c r="AD18" s="2"/>
      <c r="AE18" s="2">
        <v>269</v>
      </c>
      <c r="AF18" s="2" t="s">
        <v>141</v>
      </c>
      <c r="AG18" s="2"/>
      <c r="AH18" s="2"/>
      <c r="AI18" s="2"/>
      <c r="AJ18" s="2"/>
      <c r="AK18" s="2" t="s">
        <v>563</v>
      </c>
      <c r="AL18" s="2" t="s">
        <v>564</v>
      </c>
      <c r="AM18" s="2" t="s">
        <v>565</v>
      </c>
      <c r="AN18" s="2" t="s">
        <v>566</v>
      </c>
      <c r="AO18" s="2" t="s">
        <v>567</v>
      </c>
      <c r="AP18" s="2">
        <v>600183000</v>
      </c>
      <c r="AQ18" s="2">
        <v>600183000</v>
      </c>
      <c r="AR18" s="2" t="s">
        <v>253</v>
      </c>
      <c r="AS18" s="2">
        <v>83806516</v>
      </c>
      <c r="AT18" s="2" t="s">
        <v>568</v>
      </c>
      <c r="AU18" s="2"/>
      <c r="AV18" s="2"/>
      <c r="AW18" s="2" t="s">
        <v>569</v>
      </c>
      <c r="AX18" s="2">
        <v>92246914</v>
      </c>
      <c r="AY18" s="2" t="s">
        <v>570</v>
      </c>
      <c r="AZ18" s="2" t="s">
        <v>571</v>
      </c>
      <c r="BA18" s="2" t="s">
        <v>572</v>
      </c>
      <c r="BB18" s="2">
        <v>0</v>
      </c>
      <c r="BC18" s="3" t="str">
        <f>HYPERLINK("https://patentscout.innography.com/share/0nnoPEIquQcgDA0p536Xew%3D%3D","DE202022104213")</f>
        <v>DE202022104213</v>
      </c>
      <c r="BD18" s="2" t="s">
        <v>573</v>
      </c>
      <c r="BE18" s="2" t="s">
        <v>574</v>
      </c>
      <c r="BF18" s="2" t="s">
        <v>575</v>
      </c>
      <c r="BG18" s="2" t="str">
        <f>HYPERLINK("https://patentscout.innography.com/share/0nnoPEIquQcgDA0p536Xew%3D%3D/download", "Download PDF")</f>
        <v>Download PDF</v>
      </c>
      <c r="BH18" s="2" t="s">
        <v>576</v>
      </c>
      <c r="BI18" s="2"/>
      <c r="BJ18" s="2" t="s">
        <v>570</v>
      </c>
      <c r="BK18" s="2" t="s">
        <v>570</v>
      </c>
      <c r="BL18" s="2" t="s">
        <v>570</v>
      </c>
      <c r="BM18" s="2"/>
      <c r="BN18" s="2"/>
      <c r="BO18" s="2"/>
      <c r="BP18" s="2"/>
      <c r="BQ18" s="2"/>
      <c r="BR18" s="2"/>
      <c r="BS18" s="2"/>
      <c r="BT18" s="2"/>
      <c r="BU18" s="2"/>
      <c r="BV18" s="2"/>
      <c r="BW18" s="2"/>
      <c r="BX18" s="2"/>
      <c r="BY18" s="2"/>
      <c r="BZ18" s="2"/>
      <c r="CA18" s="2"/>
      <c r="CB18" s="2"/>
      <c r="CC18" s="2" t="s">
        <v>577</v>
      </c>
      <c r="CD18" s="2" t="str">
        <f>HYPERLINK("https://patentscout.innography.com/share/0nnoPEIquQcgDA0p536Xew%3D%3D", "Innography Link")</f>
        <v>Innography Link</v>
      </c>
      <c r="CE18" s="2"/>
      <c r="CF18" s="2"/>
      <c r="CG18" s="2"/>
      <c r="CH18" s="2"/>
      <c r="CI18" s="2"/>
      <c r="CK18" s="2" t="s">
        <v>578</v>
      </c>
    </row>
    <row r="19" spans="1:98" ht="152" customHeight="1" x14ac:dyDescent="0.45">
      <c r="A19" s="2">
        <v>0</v>
      </c>
      <c r="B19" s="2">
        <v>6</v>
      </c>
      <c r="C19" s="2" t="s">
        <v>579</v>
      </c>
      <c r="D19" s="2"/>
      <c r="E19" s="2"/>
      <c r="F19" s="2" t="s">
        <v>580</v>
      </c>
      <c r="G19" s="2" t="s">
        <v>580</v>
      </c>
      <c r="H19" s="2" t="s">
        <v>581</v>
      </c>
      <c r="I19" s="2" t="s">
        <v>581</v>
      </c>
      <c r="J19" s="2" t="s">
        <v>582</v>
      </c>
      <c r="K19" s="2" t="s">
        <v>580</v>
      </c>
      <c r="L19" s="2" t="s">
        <v>580</v>
      </c>
      <c r="M19" s="2" t="s">
        <v>583</v>
      </c>
      <c r="N19" s="2" t="s">
        <v>584</v>
      </c>
      <c r="O19" s="2"/>
      <c r="P19" s="2"/>
      <c r="Q19" s="2"/>
      <c r="R19" s="2"/>
      <c r="S19" s="2"/>
      <c r="T19" s="2">
        <v>87</v>
      </c>
      <c r="U19" s="2">
        <v>6</v>
      </c>
      <c r="V19" s="2" t="s">
        <v>585</v>
      </c>
      <c r="W19" s="2"/>
      <c r="X19" s="2"/>
      <c r="Y19" s="2"/>
      <c r="Z19" s="2" t="s">
        <v>586</v>
      </c>
      <c r="AA19" s="2" t="s">
        <v>587</v>
      </c>
      <c r="AB19" s="2">
        <v>9</v>
      </c>
      <c r="AC19" s="2" t="s">
        <v>235</v>
      </c>
      <c r="AD19" s="2"/>
      <c r="AE19" s="2">
        <v>627</v>
      </c>
      <c r="AF19" s="2" t="s">
        <v>141</v>
      </c>
      <c r="AG19" s="2"/>
      <c r="AH19" s="2"/>
      <c r="AI19" s="2"/>
      <c r="AJ19" s="2"/>
      <c r="AK19" s="2" t="s">
        <v>217</v>
      </c>
      <c r="AL19" s="2" t="s">
        <v>588</v>
      </c>
      <c r="AM19" s="2" t="s">
        <v>588</v>
      </c>
      <c r="AN19" s="2" t="s">
        <v>589</v>
      </c>
      <c r="AO19" s="2" t="s">
        <v>590</v>
      </c>
      <c r="AP19" s="2">
        <v>340005530</v>
      </c>
      <c r="AQ19" s="2">
        <v>340005530</v>
      </c>
      <c r="AR19" s="2" t="s">
        <v>253</v>
      </c>
      <c r="AS19" s="2">
        <v>84407328</v>
      </c>
      <c r="AT19" s="2" t="s">
        <v>591</v>
      </c>
      <c r="AU19" s="2"/>
      <c r="AV19" s="2"/>
      <c r="AW19" s="2" t="s">
        <v>336</v>
      </c>
      <c r="AX19" s="2">
        <v>92917546</v>
      </c>
      <c r="AY19" s="2" t="s">
        <v>592</v>
      </c>
      <c r="AZ19" s="2" t="s">
        <v>593</v>
      </c>
      <c r="BA19" s="2" t="s">
        <v>594</v>
      </c>
      <c r="BB19" s="2">
        <v>0</v>
      </c>
      <c r="BC19" s="3" t="str">
        <f>HYPERLINK("https://patentscout.innography.com/share/YtXaf6CAvKIi5fDsr6Dixw%3D%3D","KR102475093")</f>
        <v>KR102475093</v>
      </c>
      <c r="BD19" s="2" t="s">
        <v>595</v>
      </c>
      <c r="BE19" s="2" t="s">
        <v>596</v>
      </c>
      <c r="BF19" s="2" t="s">
        <v>597</v>
      </c>
      <c r="BG19" s="2" t="str">
        <f>HYPERLINK("https://patentscout.innography.com/share/YtXaf6CAvKIi5fDsr6Dixw%3D%3D/download", "Download PDF")</f>
        <v>Download PDF</v>
      </c>
      <c r="BH19" s="2" t="s">
        <v>598</v>
      </c>
      <c r="BI19" s="2"/>
      <c r="BJ19" s="2" t="s">
        <v>599</v>
      </c>
      <c r="BK19" s="2" t="s">
        <v>599</v>
      </c>
      <c r="BL19" s="2" t="s">
        <v>599</v>
      </c>
      <c r="BM19" s="2"/>
      <c r="BN19" s="2"/>
      <c r="BO19" s="2"/>
      <c r="BP19" s="2"/>
      <c r="BQ19" s="2"/>
      <c r="BR19" s="2"/>
      <c r="BS19" s="2"/>
      <c r="BT19" s="2"/>
      <c r="BU19" s="2"/>
      <c r="BV19" s="2"/>
      <c r="BW19" s="2"/>
      <c r="BX19" s="2"/>
      <c r="BY19" s="2"/>
      <c r="BZ19" s="2"/>
      <c r="CA19" s="2"/>
      <c r="CB19" s="2"/>
      <c r="CC19" s="2" t="s">
        <v>243</v>
      </c>
      <c r="CD19" s="2" t="str">
        <f>HYPERLINK("https://patentscout.innography.com/share/YtXaf6CAvKIi5fDsr6Dixw%3D%3D", "Innography Link")</f>
        <v>Innography Link</v>
      </c>
      <c r="CE19" s="2"/>
      <c r="CF19" s="2"/>
      <c r="CG19" s="2"/>
      <c r="CH19" s="2"/>
      <c r="CI19" s="2"/>
      <c r="CK19" s="2" t="s">
        <v>600</v>
      </c>
      <c r="CL19" s="2" t="s">
        <v>371</v>
      </c>
      <c r="CM19" s="2" t="s">
        <v>601</v>
      </c>
      <c r="CN19" s="2" t="s">
        <v>602</v>
      </c>
      <c r="CO19" s="2" t="s">
        <v>372</v>
      </c>
    </row>
    <row r="20" spans="1:98" ht="30" customHeight="1" x14ac:dyDescent="0.45">
      <c r="A20" s="2">
        <v>0</v>
      </c>
      <c r="B20" s="2">
        <v>2</v>
      </c>
      <c r="C20" s="2" t="s">
        <v>603</v>
      </c>
      <c r="D20" s="2"/>
      <c r="E20" s="2" t="s">
        <v>604</v>
      </c>
      <c r="F20" s="2"/>
      <c r="G20" s="2" t="s">
        <v>604</v>
      </c>
      <c r="H20" s="2" t="s">
        <v>605</v>
      </c>
      <c r="I20" s="2" t="s">
        <v>606</v>
      </c>
      <c r="J20" s="2" t="s">
        <v>607</v>
      </c>
      <c r="K20" s="2" t="s">
        <v>604</v>
      </c>
      <c r="L20" s="2" t="s">
        <v>604</v>
      </c>
      <c r="M20" s="2" t="s">
        <v>608</v>
      </c>
      <c r="N20" s="2" t="s">
        <v>609</v>
      </c>
      <c r="O20" s="2"/>
      <c r="P20" s="2" t="s">
        <v>610</v>
      </c>
      <c r="Q20" s="2" t="s">
        <v>610</v>
      </c>
      <c r="R20" s="2" t="s">
        <v>611</v>
      </c>
      <c r="S20" s="2" t="s">
        <v>610</v>
      </c>
      <c r="T20" s="2">
        <v>87</v>
      </c>
      <c r="U20" s="2">
        <v>3</v>
      </c>
      <c r="V20" s="2" t="s">
        <v>612</v>
      </c>
      <c r="W20" s="2"/>
      <c r="X20" s="2"/>
      <c r="Y20" s="2"/>
      <c r="Z20" s="2" t="s">
        <v>613</v>
      </c>
      <c r="AA20" s="2" t="s">
        <v>614</v>
      </c>
      <c r="AB20" s="2">
        <v>6</v>
      </c>
      <c r="AC20" s="2" t="s">
        <v>615</v>
      </c>
      <c r="AD20" s="2" t="s">
        <v>616</v>
      </c>
      <c r="AE20" s="2">
        <v>101</v>
      </c>
      <c r="AF20" s="2" t="s">
        <v>180</v>
      </c>
      <c r="AG20" s="2" t="s">
        <v>617</v>
      </c>
      <c r="AH20" s="2"/>
      <c r="AI20" s="2" t="s">
        <v>618</v>
      </c>
      <c r="AJ20" s="2"/>
      <c r="AK20" s="2" t="s">
        <v>619</v>
      </c>
      <c r="AL20" s="2" t="s">
        <v>620</v>
      </c>
      <c r="AM20" s="2" t="s">
        <v>621</v>
      </c>
      <c r="AN20" s="2" t="s">
        <v>622</v>
      </c>
      <c r="AO20" s="2" t="s">
        <v>622</v>
      </c>
      <c r="AP20" s="2">
        <v>345419000</v>
      </c>
      <c r="AQ20" s="2">
        <v>345419000</v>
      </c>
      <c r="AR20" s="2" t="s">
        <v>253</v>
      </c>
      <c r="AS20" s="2">
        <v>42538247</v>
      </c>
      <c r="AT20" s="2" t="s">
        <v>623</v>
      </c>
      <c r="AU20" s="2"/>
      <c r="AV20" s="2"/>
      <c r="AW20" s="2" t="s">
        <v>624</v>
      </c>
      <c r="AX20" s="2">
        <v>34558960</v>
      </c>
      <c r="AY20" s="2" t="s">
        <v>625</v>
      </c>
      <c r="AZ20" s="2" t="s">
        <v>626</v>
      </c>
      <c r="BA20" s="2" t="s">
        <v>627</v>
      </c>
      <c r="BB20" s="2">
        <v>0</v>
      </c>
      <c r="BC20" s="3" t="str">
        <f>HYPERLINK("https://patentscout.innography.com/share/LaHH9XJDAX_V4WEoGCDZTw%3D%3D","WO2010097430")</f>
        <v>WO2010097430</v>
      </c>
      <c r="BD20" s="2" t="s">
        <v>628</v>
      </c>
      <c r="BE20" s="2" t="s">
        <v>629</v>
      </c>
      <c r="BF20" s="2" t="s">
        <v>630</v>
      </c>
      <c r="BG20" s="2" t="str">
        <f>HYPERLINK("https://patentscout.innography.com/share/LaHH9XJDAX_V4WEoGCDZTw%3D%3D/download", "Download PDF")</f>
        <v>Download PDF</v>
      </c>
      <c r="BH20" s="2" t="s">
        <v>631</v>
      </c>
      <c r="BI20" s="2"/>
      <c r="BJ20" s="2" t="s">
        <v>632</v>
      </c>
      <c r="BK20" s="2" t="s">
        <v>633</v>
      </c>
      <c r="BL20" s="2" t="s">
        <v>633</v>
      </c>
      <c r="BM20" s="2"/>
      <c r="BN20" s="2"/>
      <c r="BO20" s="2"/>
      <c r="BP20" s="2"/>
      <c r="BQ20" s="2"/>
      <c r="BR20" s="2"/>
      <c r="BS20" s="2"/>
      <c r="BT20" s="2"/>
      <c r="BU20" s="2"/>
      <c r="BV20" s="2" t="s">
        <v>634</v>
      </c>
      <c r="BW20" s="2"/>
      <c r="BX20" s="2"/>
      <c r="BY20" s="2"/>
      <c r="BZ20" s="2"/>
      <c r="CA20" s="2"/>
      <c r="CB20" s="2"/>
      <c r="CC20" s="2" t="s">
        <v>635</v>
      </c>
      <c r="CD20" s="2" t="str">
        <f>HYPERLINK("https://patentscout.innography.com/share/LaHH9XJDAX_V4WEoGCDZTw%3D%3D", "Innography Link")</f>
        <v>Innography Link</v>
      </c>
      <c r="CE20" s="2"/>
      <c r="CF20" s="2"/>
      <c r="CG20" s="2"/>
      <c r="CH20" s="2"/>
      <c r="CI20" s="2"/>
    </row>
    <row r="21" spans="1:98" ht="30" customHeight="1" x14ac:dyDescent="0.45">
      <c r="A21" s="2">
        <v>1</v>
      </c>
      <c r="B21" s="2">
        <v>3</v>
      </c>
      <c r="C21" s="2" t="s">
        <v>636</v>
      </c>
      <c r="D21" s="2" t="s">
        <v>637</v>
      </c>
      <c r="E21" s="2" t="s">
        <v>447</v>
      </c>
      <c r="F21" s="2"/>
      <c r="G21" s="2" t="s">
        <v>447</v>
      </c>
      <c r="H21" s="2" t="s">
        <v>605</v>
      </c>
      <c r="I21" s="2" t="s">
        <v>605</v>
      </c>
      <c r="J21" s="2" t="s">
        <v>638</v>
      </c>
      <c r="K21" s="2" t="s">
        <v>604</v>
      </c>
      <c r="L21" s="2" t="s">
        <v>604</v>
      </c>
      <c r="M21" s="2" t="s">
        <v>639</v>
      </c>
      <c r="N21" s="2" t="s">
        <v>640</v>
      </c>
      <c r="O21" s="2"/>
      <c r="P21" s="2" t="s">
        <v>610</v>
      </c>
      <c r="Q21" s="2" t="s">
        <v>610</v>
      </c>
      <c r="R21" s="2" t="s">
        <v>611</v>
      </c>
      <c r="S21" s="2" t="s">
        <v>610</v>
      </c>
      <c r="T21" s="2">
        <v>87</v>
      </c>
      <c r="U21" s="2">
        <v>6</v>
      </c>
      <c r="V21" s="2" t="s">
        <v>641</v>
      </c>
      <c r="W21" s="2"/>
      <c r="X21" s="2"/>
      <c r="Y21" s="2"/>
      <c r="Z21" s="2" t="s">
        <v>642</v>
      </c>
      <c r="AA21" s="2" t="s">
        <v>642</v>
      </c>
      <c r="AB21" s="2">
        <v>6</v>
      </c>
      <c r="AC21" s="2" t="s">
        <v>139</v>
      </c>
      <c r="AD21" s="2" t="s">
        <v>616</v>
      </c>
      <c r="AE21" s="2">
        <v>95</v>
      </c>
      <c r="AF21" s="2" t="s">
        <v>180</v>
      </c>
      <c r="AG21" s="2"/>
      <c r="AH21" s="2"/>
      <c r="AI21" s="2"/>
      <c r="AJ21" s="2"/>
      <c r="AK21" s="2" t="s">
        <v>563</v>
      </c>
      <c r="AL21" s="2" t="s">
        <v>620</v>
      </c>
      <c r="AM21" s="2" t="s">
        <v>621</v>
      </c>
      <c r="AN21" s="2" t="s">
        <v>643</v>
      </c>
      <c r="AO21" s="2" t="s">
        <v>644</v>
      </c>
      <c r="AP21" s="2">
        <v>345475000</v>
      </c>
      <c r="AQ21" s="2">
        <v>345475000</v>
      </c>
      <c r="AR21" s="2" t="s">
        <v>253</v>
      </c>
      <c r="AS21" s="2">
        <v>42538247</v>
      </c>
      <c r="AT21" s="2" t="s">
        <v>623</v>
      </c>
      <c r="AU21" s="2"/>
      <c r="AV21" s="2"/>
      <c r="AW21" s="2" t="s">
        <v>645</v>
      </c>
      <c r="AX21" s="2">
        <v>34558960</v>
      </c>
      <c r="AY21" s="2" t="s">
        <v>625</v>
      </c>
      <c r="AZ21" s="2" t="s">
        <v>646</v>
      </c>
      <c r="BA21" s="2" t="s">
        <v>255</v>
      </c>
      <c r="BB21" s="2">
        <v>0</v>
      </c>
      <c r="BC21" s="3" t="str">
        <f>HYPERLINK("https://patentscout.innography.com/share/U4G0OHCaKk2fYNEMxfiPAQ%3D%3D","DE102009001127")</f>
        <v>DE102009001127</v>
      </c>
      <c r="BD21" s="2" t="s">
        <v>647</v>
      </c>
      <c r="BE21" s="2" t="s">
        <v>648</v>
      </c>
      <c r="BF21" s="2" t="s">
        <v>649</v>
      </c>
      <c r="BG21" s="2" t="str">
        <f>HYPERLINK("https://patentscout.innography.com/share/U4G0OHCaKk2fYNEMxfiPAQ%3D%3D/download", "Download PDF")</f>
        <v>Download PDF</v>
      </c>
      <c r="BH21" s="2" t="s">
        <v>650</v>
      </c>
      <c r="BI21" s="2"/>
      <c r="BJ21" s="2" t="s">
        <v>633</v>
      </c>
      <c r="BK21" s="2" t="s">
        <v>633</v>
      </c>
      <c r="BL21" s="2" t="s">
        <v>633</v>
      </c>
      <c r="BM21" s="2"/>
      <c r="BN21" s="2"/>
      <c r="BO21" s="2"/>
      <c r="BP21" s="2"/>
      <c r="BQ21" s="2"/>
      <c r="BR21" s="2"/>
      <c r="BS21" s="2"/>
      <c r="BT21" s="2"/>
      <c r="BU21" s="2"/>
      <c r="BV21" s="2" t="s">
        <v>651</v>
      </c>
      <c r="BW21" s="2"/>
      <c r="BX21" s="2"/>
      <c r="BY21" s="2"/>
      <c r="BZ21" s="2"/>
      <c r="CA21" s="2"/>
      <c r="CB21" s="2"/>
      <c r="CC21" s="2" t="s">
        <v>652</v>
      </c>
      <c r="CD21" s="2" t="str">
        <f>HYPERLINK("https://patentscout.innography.com/share/U4G0OHCaKk2fYNEMxfiPAQ%3D%3D", "Innography Link")</f>
        <v>Innography Link</v>
      </c>
      <c r="CE21" s="2"/>
      <c r="CF21" s="2"/>
      <c r="CG21" s="2"/>
      <c r="CH21" s="2"/>
      <c r="CI21" s="2"/>
      <c r="CK21" s="2" t="s">
        <v>653</v>
      </c>
    </row>
    <row r="22" spans="1:98" ht="152" customHeight="1" x14ac:dyDescent="0.45">
      <c r="A22" s="2">
        <v>6</v>
      </c>
      <c r="B22" s="2">
        <v>0</v>
      </c>
      <c r="C22" s="2"/>
      <c r="D22" s="2" t="s">
        <v>654</v>
      </c>
      <c r="E22" s="2" t="s">
        <v>655</v>
      </c>
      <c r="F22" s="2"/>
      <c r="G22" s="2" t="s">
        <v>655</v>
      </c>
      <c r="H22" s="2" t="s">
        <v>656</v>
      </c>
      <c r="I22" s="2" t="s">
        <v>656</v>
      </c>
      <c r="J22" s="2" t="s">
        <v>657</v>
      </c>
      <c r="K22" s="2" t="s">
        <v>655</v>
      </c>
      <c r="L22" s="2" t="s">
        <v>655</v>
      </c>
      <c r="M22" s="2" t="s">
        <v>658</v>
      </c>
      <c r="N22" s="2" t="s">
        <v>659</v>
      </c>
      <c r="O22" s="2"/>
      <c r="P22" s="2" t="s">
        <v>173</v>
      </c>
      <c r="Q22" s="2" t="s">
        <v>173</v>
      </c>
      <c r="R22" s="2" t="s">
        <v>173</v>
      </c>
      <c r="S22" s="2" t="s">
        <v>173</v>
      </c>
      <c r="T22" s="2">
        <v>87</v>
      </c>
      <c r="U22" s="2">
        <v>20</v>
      </c>
      <c r="V22" s="2" t="s">
        <v>660</v>
      </c>
      <c r="W22" s="2"/>
      <c r="X22" s="2"/>
      <c r="Y22" s="2"/>
      <c r="Z22" s="2" t="s">
        <v>661</v>
      </c>
      <c r="AA22" s="2" t="s">
        <v>661</v>
      </c>
      <c r="AB22" s="2">
        <v>1</v>
      </c>
      <c r="AC22" s="2" t="s">
        <v>214</v>
      </c>
      <c r="AD22" s="2" t="s">
        <v>662</v>
      </c>
      <c r="AE22" s="2">
        <v>151</v>
      </c>
      <c r="AF22" s="2" t="s">
        <v>180</v>
      </c>
      <c r="AG22" s="2"/>
      <c r="AH22" s="2"/>
      <c r="AI22" s="2"/>
      <c r="AJ22" s="2"/>
      <c r="AK22" s="2" t="s">
        <v>217</v>
      </c>
      <c r="AL22" s="2" t="s">
        <v>663</v>
      </c>
      <c r="AM22" s="2" t="s">
        <v>664</v>
      </c>
      <c r="AN22" s="2" t="s">
        <v>665</v>
      </c>
      <c r="AO22" s="2" t="s">
        <v>666</v>
      </c>
      <c r="AP22" s="2">
        <v>705002000</v>
      </c>
      <c r="AQ22" s="2">
        <v>705002000</v>
      </c>
      <c r="AR22" s="2" t="s">
        <v>146</v>
      </c>
      <c r="AS22" s="2">
        <v>45610487</v>
      </c>
      <c r="AT22" s="2" t="s">
        <v>667</v>
      </c>
      <c r="AU22" s="2"/>
      <c r="AV22" s="2"/>
      <c r="AW22" s="2" t="s">
        <v>219</v>
      </c>
      <c r="AX22" s="2">
        <v>37753485</v>
      </c>
      <c r="AY22" s="2" t="s">
        <v>668</v>
      </c>
      <c r="AZ22" s="2" t="s">
        <v>669</v>
      </c>
      <c r="BA22" s="2" t="s">
        <v>255</v>
      </c>
      <c r="BB22" s="2">
        <v>0</v>
      </c>
      <c r="BC22" s="3" t="str">
        <f>HYPERLINK("https://patentscout.innography.com/share/TtLxydt7iVgrJ3EKUDtnLA%3D%3D","KR20120003588")</f>
        <v>KR20120003588</v>
      </c>
      <c r="BD22" s="2" t="s">
        <v>670</v>
      </c>
      <c r="BE22" s="2" t="s">
        <v>671</v>
      </c>
      <c r="BF22" s="2" t="s">
        <v>672</v>
      </c>
      <c r="BG22" s="2" t="str">
        <f>HYPERLINK("https://patentscout.innography.com/share/TtLxydt7iVgrJ3EKUDtnLA%3D%3D/download", "Download PDF")</f>
        <v>Download PDF</v>
      </c>
      <c r="BH22" s="2" t="s">
        <v>673</v>
      </c>
      <c r="BI22" s="2"/>
      <c r="BJ22" s="2" t="s">
        <v>668</v>
      </c>
      <c r="BK22" s="2" t="s">
        <v>668</v>
      </c>
      <c r="BL22" s="2" t="s">
        <v>668</v>
      </c>
      <c r="BM22" s="2"/>
      <c r="BN22" s="2"/>
      <c r="BO22" s="2"/>
      <c r="BP22" s="2"/>
      <c r="BQ22" s="2"/>
      <c r="BR22" s="2"/>
      <c r="BS22" s="2"/>
      <c r="BT22" s="2"/>
      <c r="BU22" s="2" t="s">
        <v>674</v>
      </c>
      <c r="BV22" s="2" t="s">
        <v>675</v>
      </c>
      <c r="BW22" s="2"/>
      <c r="BX22" s="2"/>
      <c r="BY22" s="2"/>
      <c r="BZ22" s="2"/>
      <c r="CA22" s="2"/>
      <c r="CB22" s="2"/>
      <c r="CC22" s="2" t="s">
        <v>228</v>
      </c>
      <c r="CD22" s="2" t="str">
        <f>HYPERLINK("https://patentscout.innography.com/share/TtLxydt7iVgrJ3EKUDtnLA%3D%3D", "Innography Link")</f>
        <v>Innography Link</v>
      </c>
      <c r="CE22" s="2"/>
      <c r="CF22" s="2"/>
      <c r="CG22" s="2"/>
      <c r="CH22" s="2"/>
      <c r="CI22" s="2"/>
      <c r="CK22" s="2" t="s">
        <v>676</v>
      </c>
    </row>
    <row r="23" spans="1:98" ht="152" customHeight="1" x14ac:dyDescent="0.45">
      <c r="A23" s="2">
        <v>29</v>
      </c>
      <c r="B23" s="2">
        <v>8</v>
      </c>
      <c r="C23" s="2" t="s">
        <v>677</v>
      </c>
      <c r="D23" s="2" t="s">
        <v>678</v>
      </c>
      <c r="E23" s="2" t="s">
        <v>679</v>
      </c>
      <c r="F23" s="2"/>
      <c r="G23" s="2" t="s">
        <v>679</v>
      </c>
      <c r="H23" s="2" t="s">
        <v>680</v>
      </c>
      <c r="I23" s="2" t="s">
        <v>680</v>
      </c>
      <c r="J23" s="2" t="s">
        <v>681</v>
      </c>
      <c r="K23" s="2" t="s">
        <v>679</v>
      </c>
      <c r="L23" s="2" t="s">
        <v>679</v>
      </c>
      <c r="M23" s="2" t="s">
        <v>682</v>
      </c>
      <c r="N23" s="2" t="s">
        <v>683</v>
      </c>
      <c r="O23" s="2" t="s">
        <v>684</v>
      </c>
      <c r="P23" s="2" t="s">
        <v>381</v>
      </c>
      <c r="Q23" s="2" t="s">
        <v>382</v>
      </c>
      <c r="R23" s="2" t="s">
        <v>382</v>
      </c>
      <c r="S23" s="2" t="s">
        <v>381</v>
      </c>
      <c r="T23" s="2">
        <v>87</v>
      </c>
      <c r="U23" s="2">
        <v>48</v>
      </c>
      <c r="V23" s="2" t="s">
        <v>685</v>
      </c>
      <c r="W23" s="2" t="s">
        <v>686</v>
      </c>
      <c r="X23" s="2">
        <v>2174</v>
      </c>
      <c r="Y23" s="2" t="s">
        <v>687</v>
      </c>
      <c r="Z23" s="2" t="s">
        <v>688</v>
      </c>
      <c r="AA23" s="2" t="s">
        <v>689</v>
      </c>
      <c r="AB23" s="2">
        <v>6</v>
      </c>
      <c r="AC23" s="2" t="s">
        <v>139</v>
      </c>
      <c r="AD23" s="2" t="s">
        <v>690</v>
      </c>
      <c r="AE23" s="2">
        <v>76</v>
      </c>
      <c r="AF23" s="2" t="s">
        <v>180</v>
      </c>
      <c r="AG23" s="2"/>
      <c r="AH23" s="2"/>
      <c r="AI23" s="2"/>
      <c r="AJ23" s="2"/>
      <c r="AK23" s="2" t="s">
        <v>142</v>
      </c>
      <c r="AL23" s="2" t="s">
        <v>691</v>
      </c>
      <c r="AM23" s="2" t="s">
        <v>692</v>
      </c>
      <c r="AN23" s="2" t="s">
        <v>251</v>
      </c>
      <c r="AO23" s="2" t="s">
        <v>251</v>
      </c>
      <c r="AP23" s="2">
        <v>715706000</v>
      </c>
      <c r="AQ23" s="2">
        <v>715706000</v>
      </c>
      <c r="AR23" s="2" t="s">
        <v>275</v>
      </c>
      <c r="AS23" s="2">
        <v>40754928</v>
      </c>
      <c r="AT23" s="2" t="s">
        <v>693</v>
      </c>
      <c r="AU23" s="2"/>
      <c r="AV23" s="2"/>
      <c r="AW23" s="2" t="s">
        <v>303</v>
      </c>
      <c r="AX23" s="2">
        <v>31664465</v>
      </c>
      <c r="AY23" s="2" t="s">
        <v>694</v>
      </c>
      <c r="AZ23" s="2" t="s">
        <v>695</v>
      </c>
      <c r="BA23" s="2" t="s">
        <v>306</v>
      </c>
      <c r="BB23" s="2">
        <v>0</v>
      </c>
      <c r="BC23" s="3" t="str">
        <f>HYPERLINK("https://patentscout.innography.com/share/Afd-QIbKSI68-NndYgFJpw%3D%3D","US20090158150")</f>
        <v>US20090158150</v>
      </c>
      <c r="BD23" s="2" t="s">
        <v>696</v>
      </c>
      <c r="BE23" s="2" t="s">
        <v>697</v>
      </c>
      <c r="BF23" s="2" t="s">
        <v>698</v>
      </c>
      <c r="BG23" s="2" t="str">
        <f>HYPERLINK("https://patentscout.innography.com/share/Afd-QIbKSI68-NndYgFJpw%3D%3D/download", "Download PDF")</f>
        <v>Download PDF</v>
      </c>
      <c r="BH23" s="2" t="s">
        <v>699</v>
      </c>
      <c r="BI23" s="2"/>
      <c r="BJ23" s="2" t="s">
        <v>694</v>
      </c>
      <c r="BK23" s="2" t="s">
        <v>694</v>
      </c>
      <c r="BL23" s="2" t="s">
        <v>694</v>
      </c>
      <c r="BM23" s="2"/>
      <c r="BN23" s="2"/>
      <c r="BO23" s="2" t="s">
        <v>700</v>
      </c>
      <c r="BP23" s="2"/>
      <c r="BQ23" s="2"/>
      <c r="BR23" s="2" t="s">
        <v>701</v>
      </c>
      <c r="BS23" s="2" t="s">
        <v>702</v>
      </c>
      <c r="BT23" s="2" t="s">
        <v>703</v>
      </c>
      <c r="BU23" s="2" t="s">
        <v>704</v>
      </c>
      <c r="BV23" s="2"/>
      <c r="BW23" s="2" t="s">
        <v>204</v>
      </c>
      <c r="BX23" s="2"/>
      <c r="BY23" s="2"/>
      <c r="BZ23" s="2"/>
      <c r="CA23" s="2"/>
      <c r="CB23" s="2"/>
      <c r="CC23" s="2" t="s">
        <v>158</v>
      </c>
      <c r="CD23" s="2" t="str">
        <f>HYPERLINK("https://patentscout.innography.com/share/Afd-QIbKSI68-NndYgFJpw%3D%3D", "Innography Link")</f>
        <v>Innography Link</v>
      </c>
      <c r="CE23" s="2"/>
      <c r="CF23" s="2"/>
      <c r="CG23" s="2"/>
      <c r="CH23" s="2"/>
      <c r="CI23" s="2"/>
      <c r="CK23" s="2" t="s">
        <v>705</v>
      </c>
    </row>
    <row r="24" spans="1:98" ht="152" customHeight="1" x14ac:dyDescent="0.45">
      <c r="A24" s="2">
        <v>0</v>
      </c>
      <c r="B24" s="2">
        <v>3</v>
      </c>
      <c r="C24" s="2" t="s">
        <v>706</v>
      </c>
      <c r="D24" s="2"/>
      <c r="E24" s="2"/>
      <c r="F24" s="2" t="s">
        <v>707</v>
      </c>
      <c r="G24" s="2" t="s">
        <v>707</v>
      </c>
      <c r="H24" s="2" t="s">
        <v>708</v>
      </c>
      <c r="I24" s="2" t="s">
        <v>709</v>
      </c>
      <c r="J24" s="2" t="s">
        <v>710</v>
      </c>
      <c r="K24" s="2" t="s">
        <v>707</v>
      </c>
      <c r="L24" s="2" t="s">
        <v>707</v>
      </c>
      <c r="M24" s="2" t="s">
        <v>711</v>
      </c>
      <c r="N24" s="2" t="s">
        <v>712</v>
      </c>
      <c r="O24" s="2"/>
      <c r="P24" s="2"/>
      <c r="Q24" s="2"/>
      <c r="R24" s="2"/>
      <c r="S24" s="2"/>
      <c r="T24" s="2">
        <v>87</v>
      </c>
      <c r="U24" s="2">
        <v>3</v>
      </c>
      <c r="V24" s="2" t="s">
        <v>713</v>
      </c>
      <c r="W24" s="2"/>
      <c r="X24" s="2"/>
      <c r="Y24" s="2"/>
      <c r="Z24" s="2" t="s">
        <v>714</v>
      </c>
      <c r="AA24" s="2" t="s">
        <v>715</v>
      </c>
      <c r="AB24" s="2">
        <v>5</v>
      </c>
      <c r="AC24" s="2" t="s">
        <v>235</v>
      </c>
      <c r="AD24" s="2"/>
      <c r="AE24" s="2">
        <v>1017</v>
      </c>
      <c r="AF24" s="2" t="s">
        <v>141</v>
      </c>
      <c r="AG24" s="2"/>
      <c r="AH24" s="2"/>
      <c r="AI24" s="2"/>
      <c r="AJ24" s="2"/>
      <c r="AK24" s="2" t="s">
        <v>217</v>
      </c>
      <c r="AL24" s="2" t="s">
        <v>716</v>
      </c>
      <c r="AM24" s="2" t="s">
        <v>716</v>
      </c>
      <c r="AN24" s="2" t="s">
        <v>717</v>
      </c>
      <c r="AO24" s="2" t="s">
        <v>718</v>
      </c>
      <c r="AP24" s="2">
        <v>705348000</v>
      </c>
      <c r="AQ24" s="2">
        <v>705348000</v>
      </c>
      <c r="AR24" s="2" t="s">
        <v>253</v>
      </c>
      <c r="AS24" s="2">
        <v>84392203</v>
      </c>
      <c r="AT24" s="2" t="s">
        <v>719</v>
      </c>
      <c r="AU24" s="2"/>
      <c r="AV24" s="2"/>
      <c r="AW24" s="2" t="s">
        <v>336</v>
      </c>
      <c r="AX24" s="2">
        <v>92917323</v>
      </c>
      <c r="AY24" s="2" t="s">
        <v>720</v>
      </c>
      <c r="AZ24" s="2" t="s">
        <v>721</v>
      </c>
      <c r="BA24" s="2" t="s">
        <v>722</v>
      </c>
      <c r="BB24" s="2">
        <v>0</v>
      </c>
      <c r="BC24" s="3" t="str">
        <f>HYPERLINK("https://patentscout.innography.com/share/xJAp-WB2gyYYpw2rEhIcXg%3D%3D","KR102473999")</f>
        <v>KR102473999</v>
      </c>
      <c r="BD24" s="2" t="s">
        <v>723</v>
      </c>
      <c r="BE24" s="2" t="s">
        <v>724</v>
      </c>
      <c r="BF24" s="2" t="s">
        <v>725</v>
      </c>
      <c r="BG24" s="2" t="str">
        <f>HYPERLINK("https://patentscout.innography.com/share/xJAp-WB2gyYYpw2rEhIcXg%3D%3D/download", "Download PDF")</f>
        <v>Download PDF</v>
      </c>
      <c r="BH24" s="2" t="s">
        <v>726</v>
      </c>
      <c r="BI24" s="2"/>
      <c r="BJ24" s="2" t="s">
        <v>727</v>
      </c>
      <c r="BK24" s="2" t="s">
        <v>727</v>
      </c>
      <c r="BL24" s="2" t="s">
        <v>727</v>
      </c>
      <c r="BM24" s="2"/>
      <c r="BN24" s="2"/>
      <c r="BO24" s="2"/>
      <c r="BP24" s="2"/>
      <c r="BQ24" s="2"/>
      <c r="BR24" s="2"/>
      <c r="BS24" s="2"/>
      <c r="BT24" s="2"/>
      <c r="BU24" s="2"/>
      <c r="BV24" s="2"/>
      <c r="BW24" s="2"/>
      <c r="BX24" s="2"/>
      <c r="BY24" s="2"/>
      <c r="BZ24" s="2"/>
      <c r="CA24" s="2"/>
      <c r="CB24" s="2"/>
      <c r="CC24" s="2" t="s">
        <v>243</v>
      </c>
      <c r="CD24" s="2" t="str">
        <f>HYPERLINK("https://patentscout.innography.com/share/xJAp-WB2gyYYpw2rEhIcXg%3D%3D", "Innography Link")</f>
        <v>Innography Link</v>
      </c>
      <c r="CE24" s="2"/>
      <c r="CF24" s="2"/>
      <c r="CG24" s="2"/>
      <c r="CH24" s="2"/>
      <c r="CI24" s="2"/>
      <c r="CK24" s="2" t="s">
        <v>728</v>
      </c>
      <c r="CL24" s="2" t="s">
        <v>497</v>
      </c>
    </row>
    <row r="25" spans="1:98" ht="152" customHeight="1" x14ac:dyDescent="0.45">
      <c r="A25" s="2">
        <v>2</v>
      </c>
      <c r="B25" s="2">
        <v>1</v>
      </c>
      <c r="C25" s="2" t="s">
        <v>729</v>
      </c>
      <c r="D25" s="2" t="s">
        <v>730</v>
      </c>
      <c r="E25" s="2" t="s">
        <v>731</v>
      </c>
      <c r="F25" s="2"/>
      <c r="G25" s="2" t="s">
        <v>731</v>
      </c>
      <c r="H25" s="2" t="s">
        <v>732</v>
      </c>
      <c r="I25" s="2" t="s">
        <v>733</v>
      </c>
      <c r="J25" s="2" t="s">
        <v>734</v>
      </c>
      <c r="K25" s="2" t="s">
        <v>731</v>
      </c>
      <c r="L25" s="2" t="s">
        <v>731</v>
      </c>
      <c r="M25" s="2" t="s">
        <v>735</v>
      </c>
      <c r="N25" s="2" t="s">
        <v>736</v>
      </c>
      <c r="O25" s="2" t="s">
        <v>737</v>
      </c>
      <c r="P25" s="2" t="s">
        <v>738</v>
      </c>
      <c r="Q25" s="2" t="s">
        <v>739</v>
      </c>
      <c r="R25" s="2" t="s">
        <v>739</v>
      </c>
      <c r="S25" s="2" t="s">
        <v>738</v>
      </c>
      <c r="T25" s="2">
        <v>87</v>
      </c>
      <c r="U25" s="2">
        <v>30</v>
      </c>
      <c r="V25" s="2" t="s">
        <v>740</v>
      </c>
      <c r="W25" s="2"/>
      <c r="X25" s="2"/>
      <c r="Y25" s="2"/>
      <c r="Z25" s="2" t="s">
        <v>741</v>
      </c>
      <c r="AA25" s="2" t="s">
        <v>742</v>
      </c>
      <c r="AB25" s="2">
        <v>6</v>
      </c>
      <c r="AC25" s="2" t="s">
        <v>214</v>
      </c>
      <c r="AD25" s="2" t="s">
        <v>743</v>
      </c>
      <c r="AE25" s="2">
        <v>146</v>
      </c>
      <c r="AF25" s="2" t="s">
        <v>141</v>
      </c>
      <c r="AG25" s="2"/>
      <c r="AH25" s="2"/>
      <c r="AI25" s="2"/>
      <c r="AJ25" s="2"/>
      <c r="AK25" s="2" t="s">
        <v>217</v>
      </c>
      <c r="AL25" s="2" t="s">
        <v>298</v>
      </c>
      <c r="AM25" s="2" t="s">
        <v>744</v>
      </c>
      <c r="AN25" s="2" t="s">
        <v>359</v>
      </c>
      <c r="AO25" s="2" t="s">
        <v>745</v>
      </c>
      <c r="AP25" s="2">
        <v>705348000</v>
      </c>
      <c r="AQ25" s="2">
        <v>705348000</v>
      </c>
      <c r="AR25" s="2" t="s">
        <v>415</v>
      </c>
      <c r="AS25" s="2">
        <v>78902769</v>
      </c>
      <c r="AT25" s="2" t="s">
        <v>746</v>
      </c>
      <c r="AU25" s="2"/>
      <c r="AV25" s="2"/>
      <c r="AW25" s="2" t="s">
        <v>219</v>
      </c>
      <c r="AX25" s="2">
        <v>83752291</v>
      </c>
      <c r="AY25" s="2" t="s">
        <v>747</v>
      </c>
      <c r="AZ25" s="2" t="s">
        <v>748</v>
      </c>
      <c r="BA25" s="2" t="s">
        <v>749</v>
      </c>
      <c r="BB25" s="2">
        <v>0</v>
      </c>
      <c r="BC25" s="3" t="str">
        <f>HYPERLINK("https://patentscout.innography.com/share/Xy8UloAJ9X3u3tzu3ee_6Q%3D%3D","KR20210151713")</f>
        <v>KR20210151713</v>
      </c>
      <c r="BD25" s="2" t="s">
        <v>750</v>
      </c>
      <c r="BE25" s="2"/>
      <c r="BF25" s="2" t="s">
        <v>751</v>
      </c>
      <c r="BG25" s="2" t="str">
        <f>HYPERLINK("https://patentscout.innography.com/share/Xy8UloAJ9X3u3tzu3ee_6Q%3D%3D/download", "Download PDF")</f>
        <v>Download PDF</v>
      </c>
      <c r="BH25" s="2" t="s">
        <v>752</v>
      </c>
      <c r="BI25" s="2"/>
      <c r="BJ25" s="2" t="s">
        <v>747</v>
      </c>
      <c r="BK25" s="2" t="s">
        <v>747</v>
      </c>
      <c r="BL25" s="2" t="s">
        <v>747</v>
      </c>
      <c r="BM25" s="2"/>
      <c r="BN25" s="2"/>
      <c r="BO25" s="2"/>
      <c r="BP25" s="2"/>
      <c r="BQ25" s="2"/>
      <c r="BR25" s="2"/>
      <c r="BS25" s="2"/>
      <c r="BT25" s="2"/>
      <c r="BU25" s="2"/>
      <c r="BV25" s="2"/>
      <c r="BW25" s="2"/>
      <c r="BX25" s="2"/>
      <c r="BY25" s="2"/>
      <c r="BZ25" s="2"/>
      <c r="CA25" s="2"/>
      <c r="CB25" s="2"/>
      <c r="CC25" s="2" t="s">
        <v>228</v>
      </c>
      <c r="CD25" s="2" t="str">
        <f>HYPERLINK("https://patentscout.innography.com/share/Xy8UloAJ9X3u3tzu3ee_6Q%3D%3D", "Innography Link")</f>
        <v>Innography Link</v>
      </c>
      <c r="CE25" s="2"/>
      <c r="CF25" s="2"/>
      <c r="CG25" s="2"/>
      <c r="CH25" s="2"/>
      <c r="CI25" s="2"/>
      <c r="CK25" s="2" t="s">
        <v>753</v>
      </c>
    </row>
    <row r="26" spans="1:98" ht="152" customHeight="1" x14ac:dyDescent="0.45">
      <c r="A26" s="2">
        <v>0</v>
      </c>
      <c r="B26" s="2">
        <v>3</v>
      </c>
      <c r="C26" s="2" t="s">
        <v>754</v>
      </c>
      <c r="D26" s="2"/>
      <c r="E26" s="2"/>
      <c r="F26" s="2" t="s">
        <v>755</v>
      </c>
      <c r="G26" s="2" t="s">
        <v>755</v>
      </c>
      <c r="H26" s="2" t="s">
        <v>756</v>
      </c>
      <c r="I26" s="2" t="s">
        <v>756</v>
      </c>
      <c r="J26" s="2" t="s">
        <v>757</v>
      </c>
      <c r="K26" s="2" t="s">
        <v>755</v>
      </c>
      <c r="L26" s="2" t="s">
        <v>755</v>
      </c>
      <c r="M26" s="2" t="s">
        <v>758</v>
      </c>
      <c r="N26" s="2" t="s">
        <v>759</v>
      </c>
      <c r="O26" s="2"/>
      <c r="P26" s="2" t="s">
        <v>760</v>
      </c>
      <c r="Q26" s="2" t="s">
        <v>760</v>
      </c>
      <c r="R26" s="2" t="s">
        <v>761</v>
      </c>
      <c r="S26" s="2" t="s">
        <v>760</v>
      </c>
      <c r="T26" s="2">
        <v>87</v>
      </c>
      <c r="U26" s="2">
        <v>11</v>
      </c>
      <c r="V26" s="2" t="s">
        <v>762</v>
      </c>
      <c r="W26" s="2"/>
      <c r="X26" s="2"/>
      <c r="Y26" s="2"/>
      <c r="Z26" s="2" t="s">
        <v>763</v>
      </c>
      <c r="AA26" s="2" t="s">
        <v>764</v>
      </c>
      <c r="AB26" s="2">
        <v>17</v>
      </c>
      <c r="AC26" s="2" t="s">
        <v>235</v>
      </c>
      <c r="AD26" s="2" t="s">
        <v>765</v>
      </c>
      <c r="AE26" s="2">
        <v>738</v>
      </c>
      <c r="AF26" s="2" t="s">
        <v>141</v>
      </c>
      <c r="AG26" s="2"/>
      <c r="AH26" s="2"/>
      <c r="AI26" s="2"/>
      <c r="AJ26" s="2"/>
      <c r="AK26" s="2" t="s">
        <v>217</v>
      </c>
      <c r="AL26" s="2" t="s">
        <v>766</v>
      </c>
      <c r="AM26" s="2" t="s">
        <v>767</v>
      </c>
      <c r="AN26" s="2" t="s">
        <v>768</v>
      </c>
      <c r="AO26" s="2" t="s">
        <v>769</v>
      </c>
      <c r="AP26" s="2">
        <v>358296000</v>
      </c>
      <c r="AQ26" s="2">
        <v>358296000</v>
      </c>
      <c r="AR26" s="2" t="s">
        <v>541</v>
      </c>
      <c r="AS26" s="2">
        <v>81582673</v>
      </c>
      <c r="AT26" s="2" t="s">
        <v>770</v>
      </c>
      <c r="AU26" s="2"/>
      <c r="AV26" s="2"/>
      <c r="AW26" s="2" t="s">
        <v>336</v>
      </c>
      <c r="AX26" s="2">
        <v>87975220</v>
      </c>
      <c r="AY26" s="2" t="s">
        <v>771</v>
      </c>
      <c r="AZ26" s="2" t="s">
        <v>772</v>
      </c>
      <c r="BA26" s="2" t="s">
        <v>773</v>
      </c>
      <c r="BB26" s="2">
        <v>0</v>
      </c>
      <c r="BC26" s="3" t="str">
        <f>HYPERLINK("https://patentscout.innography.com/share/1eSP1wLR5htM4GYPXvMmTw%3D%3D","KR102394158")</f>
        <v>KR102394158</v>
      </c>
      <c r="BD26" s="2" t="s">
        <v>774</v>
      </c>
      <c r="BE26" s="2" t="s">
        <v>775</v>
      </c>
      <c r="BF26" s="2" t="s">
        <v>776</v>
      </c>
      <c r="BG26" s="2" t="str">
        <f>HYPERLINK("https://patentscout.innography.com/share/1eSP1wLR5htM4GYPXvMmTw%3D%3D/download", "Download PDF")</f>
        <v>Download PDF</v>
      </c>
      <c r="BH26" s="2" t="s">
        <v>777</v>
      </c>
      <c r="BI26" s="2"/>
      <c r="BJ26" s="2" t="s">
        <v>778</v>
      </c>
      <c r="BK26" s="2" t="s">
        <v>778</v>
      </c>
      <c r="BL26" s="2" t="s">
        <v>778</v>
      </c>
      <c r="BM26" s="2"/>
      <c r="BN26" s="2"/>
      <c r="BO26" s="2"/>
      <c r="BP26" s="2"/>
      <c r="BQ26" s="2"/>
      <c r="BR26" s="2"/>
      <c r="BS26" s="2"/>
      <c r="BT26" s="2"/>
      <c r="BU26" s="2"/>
      <c r="BV26" s="2"/>
      <c r="BW26" s="2"/>
      <c r="BX26" s="2"/>
      <c r="BY26" s="2"/>
      <c r="BZ26" s="2"/>
      <c r="CA26" s="2"/>
      <c r="CB26" s="2"/>
      <c r="CC26" s="2" t="s">
        <v>243</v>
      </c>
      <c r="CD26" s="2" t="str">
        <f>HYPERLINK("https://patentscout.innography.com/share/1eSP1wLR5htM4GYPXvMmTw%3D%3D", "Innography Link")</f>
        <v>Innography Link</v>
      </c>
      <c r="CE26" s="2"/>
      <c r="CF26" s="2"/>
      <c r="CG26" s="2"/>
      <c r="CH26" s="2"/>
      <c r="CI26" s="2"/>
      <c r="CK26" s="2" t="s">
        <v>779</v>
      </c>
      <c r="CL26" s="2" t="s">
        <v>780</v>
      </c>
      <c r="CM26" s="2" t="s">
        <v>444</v>
      </c>
      <c r="CN26" s="2" t="s">
        <v>371</v>
      </c>
      <c r="CO26" s="2" t="s">
        <v>497</v>
      </c>
      <c r="CP26" s="2" t="s">
        <v>781</v>
      </c>
      <c r="CQ26" s="2" t="s">
        <v>782</v>
      </c>
      <c r="CR26" s="2" t="s">
        <v>783</v>
      </c>
      <c r="CS26" s="2" t="s">
        <v>784</v>
      </c>
      <c r="CT26" s="2" t="s">
        <v>785</v>
      </c>
    </row>
    <row r="27" spans="1:98" ht="152" customHeight="1" x14ac:dyDescent="0.45">
      <c r="A27" s="2">
        <v>0</v>
      </c>
      <c r="B27" s="2">
        <v>5</v>
      </c>
      <c r="C27" s="2" t="s">
        <v>786</v>
      </c>
      <c r="D27" s="2"/>
      <c r="E27" s="2" t="s">
        <v>526</v>
      </c>
      <c r="F27" s="2"/>
      <c r="G27" s="2" t="s">
        <v>526</v>
      </c>
      <c r="H27" s="2" t="s">
        <v>756</v>
      </c>
      <c r="I27" s="2" t="s">
        <v>787</v>
      </c>
      <c r="J27" s="2" t="s">
        <v>788</v>
      </c>
      <c r="K27" s="2" t="s">
        <v>755</v>
      </c>
      <c r="L27" s="2" t="s">
        <v>755</v>
      </c>
      <c r="M27" s="2" t="s">
        <v>789</v>
      </c>
      <c r="N27" s="2" t="s">
        <v>790</v>
      </c>
      <c r="O27" s="2"/>
      <c r="P27" s="2" t="s">
        <v>791</v>
      </c>
      <c r="Q27" s="2" t="s">
        <v>791</v>
      </c>
      <c r="R27" s="2" t="s">
        <v>792</v>
      </c>
      <c r="S27" s="2" t="s">
        <v>791</v>
      </c>
      <c r="T27" s="2">
        <v>87</v>
      </c>
      <c r="U27" s="2">
        <v>9</v>
      </c>
      <c r="V27" s="2" t="s">
        <v>793</v>
      </c>
      <c r="W27" s="2"/>
      <c r="X27" s="2"/>
      <c r="Y27" s="2"/>
      <c r="Z27" s="2" t="s">
        <v>794</v>
      </c>
      <c r="AA27" s="2" t="s">
        <v>795</v>
      </c>
      <c r="AB27" s="2">
        <v>17</v>
      </c>
      <c r="AC27" s="2" t="s">
        <v>139</v>
      </c>
      <c r="AD27" s="2" t="s">
        <v>765</v>
      </c>
      <c r="AE27" s="2">
        <v>102</v>
      </c>
      <c r="AF27" s="2" t="s">
        <v>141</v>
      </c>
      <c r="AG27" s="2" t="s">
        <v>796</v>
      </c>
      <c r="AH27" s="2"/>
      <c r="AI27" s="2"/>
      <c r="AJ27" s="2"/>
      <c r="AK27" s="2" t="s">
        <v>619</v>
      </c>
      <c r="AL27" s="2" t="s">
        <v>766</v>
      </c>
      <c r="AM27" s="2" t="s">
        <v>767</v>
      </c>
      <c r="AN27" s="2" t="s">
        <v>768</v>
      </c>
      <c r="AO27" s="2" t="s">
        <v>797</v>
      </c>
      <c r="AP27" s="2">
        <v>358296000</v>
      </c>
      <c r="AQ27" s="2">
        <v>358296000</v>
      </c>
      <c r="AR27" s="2" t="s">
        <v>253</v>
      </c>
      <c r="AS27" s="2">
        <v>81582673</v>
      </c>
      <c r="AT27" s="2" t="s">
        <v>770</v>
      </c>
      <c r="AU27" s="2"/>
      <c r="AV27" s="2"/>
      <c r="AW27" s="2" t="s">
        <v>624</v>
      </c>
      <c r="AX27" s="2">
        <v>87975220</v>
      </c>
      <c r="AY27" s="2" t="s">
        <v>771</v>
      </c>
      <c r="AZ27" s="2" t="s">
        <v>798</v>
      </c>
      <c r="BA27" s="2" t="s">
        <v>799</v>
      </c>
      <c r="BB27" s="2">
        <v>0</v>
      </c>
      <c r="BC27" s="3" t="str">
        <f>HYPERLINK("https://patentscout.innography.com/share/CkmzhdMExaoJP2pAmDj7sg%3D%3D","WO2022131602")</f>
        <v>WO2022131602</v>
      </c>
      <c r="BD27" s="2" t="s">
        <v>800</v>
      </c>
      <c r="BE27" s="2" t="s">
        <v>801</v>
      </c>
      <c r="BF27" s="2" t="s">
        <v>802</v>
      </c>
      <c r="BG27" s="2" t="str">
        <f>HYPERLINK("https://patentscout.innography.com/share/CkmzhdMExaoJP2pAmDj7sg%3D%3D/download", "Download PDF")</f>
        <v>Download PDF</v>
      </c>
      <c r="BH27" s="2" t="s">
        <v>803</v>
      </c>
      <c r="BI27" s="2"/>
      <c r="BJ27" s="2" t="s">
        <v>804</v>
      </c>
      <c r="BK27" s="2" t="s">
        <v>778</v>
      </c>
      <c r="BL27" s="2" t="s">
        <v>778</v>
      </c>
      <c r="BM27" s="2"/>
      <c r="BN27" s="2"/>
      <c r="BO27" s="2"/>
      <c r="BP27" s="2"/>
      <c r="BQ27" s="2"/>
      <c r="BR27" s="2"/>
      <c r="BS27" s="2"/>
      <c r="BT27" s="2"/>
      <c r="BU27" s="2"/>
      <c r="BV27" s="2"/>
      <c r="BW27" s="2"/>
      <c r="BX27" s="2"/>
      <c r="BY27" s="2"/>
      <c r="BZ27" s="2"/>
      <c r="CA27" s="2"/>
      <c r="CB27" s="2"/>
      <c r="CC27" s="2" t="s">
        <v>635</v>
      </c>
      <c r="CD27" s="2" t="str">
        <f>HYPERLINK("https://patentscout.innography.com/share/CkmzhdMExaoJP2pAmDj7sg%3D%3D", "Innography Link")</f>
        <v>Innography Link</v>
      </c>
      <c r="CE27" s="2"/>
      <c r="CF27" s="2"/>
      <c r="CG27" s="2"/>
      <c r="CH27" s="2"/>
      <c r="CI27" s="2"/>
      <c r="CK27" s="2" t="s">
        <v>805</v>
      </c>
      <c r="CL27" s="2" t="s">
        <v>806</v>
      </c>
    </row>
    <row r="28" spans="1:98" ht="152" customHeight="1" x14ac:dyDescent="0.45">
      <c r="A28" s="2">
        <v>0</v>
      </c>
      <c r="B28" s="2">
        <v>4</v>
      </c>
      <c r="C28" s="2" t="s">
        <v>807</v>
      </c>
      <c r="D28" s="2"/>
      <c r="E28" s="2"/>
      <c r="F28" s="2" t="s">
        <v>808</v>
      </c>
      <c r="G28" s="2" t="s">
        <v>808</v>
      </c>
      <c r="H28" s="2" t="s">
        <v>809</v>
      </c>
      <c r="I28" s="2" t="s">
        <v>809</v>
      </c>
      <c r="J28" s="2" t="s">
        <v>810</v>
      </c>
      <c r="K28" s="2" t="s">
        <v>808</v>
      </c>
      <c r="L28" s="2" t="s">
        <v>808</v>
      </c>
      <c r="M28" s="2" t="s">
        <v>811</v>
      </c>
      <c r="N28" s="2" t="s">
        <v>812</v>
      </c>
      <c r="O28" s="2"/>
      <c r="P28" s="2" t="s">
        <v>813</v>
      </c>
      <c r="Q28" s="2"/>
      <c r="R28" s="2"/>
      <c r="S28" s="2" t="s">
        <v>813</v>
      </c>
      <c r="T28" s="2">
        <v>87</v>
      </c>
      <c r="U28" s="2">
        <v>6</v>
      </c>
      <c r="V28" s="2" t="s">
        <v>814</v>
      </c>
      <c r="W28" s="2"/>
      <c r="X28" s="2"/>
      <c r="Y28" s="2"/>
      <c r="Z28" s="2" t="s">
        <v>815</v>
      </c>
      <c r="AA28" s="2" t="s">
        <v>816</v>
      </c>
      <c r="AB28" s="2">
        <v>11</v>
      </c>
      <c r="AC28" s="2" t="s">
        <v>235</v>
      </c>
      <c r="AD28" s="2" t="s">
        <v>813</v>
      </c>
      <c r="AE28" s="2">
        <v>288</v>
      </c>
      <c r="AF28" s="2" t="s">
        <v>141</v>
      </c>
      <c r="AG28" s="2"/>
      <c r="AH28" s="2"/>
      <c r="AI28" s="2"/>
      <c r="AJ28" s="2"/>
      <c r="AK28" s="2" t="s">
        <v>217</v>
      </c>
      <c r="AL28" s="2" t="s">
        <v>817</v>
      </c>
      <c r="AM28" s="2" t="s">
        <v>817</v>
      </c>
      <c r="AN28" s="2" t="s">
        <v>818</v>
      </c>
      <c r="AO28" s="2" t="s">
        <v>819</v>
      </c>
      <c r="AP28" s="2">
        <v>422044000</v>
      </c>
      <c r="AQ28" s="2">
        <v>422044000</v>
      </c>
      <c r="AR28" s="2" t="s">
        <v>253</v>
      </c>
      <c r="AS28" s="2">
        <v>82406882</v>
      </c>
      <c r="AT28" s="2" t="s">
        <v>820</v>
      </c>
      <c r="AU28" s="2"/>
      <c r="AV28" s="2"/>
      <c r="AW28" s="2" t="s">
        <v>821</v>
      </c>
      <c r="AX28" s="2">
        <v>89049221</v>
      </c>
      <c r="AY28" s="2" t="s">
        <v>822</v>
      </c>
      <c r="AZ28" s="2" t="s">
        <v>823</v>
      </c>
      <c r="BA28" s="2" t="s">
        <v>824</v>
      </c>
      <c r="BB28" s="2">
        <v>0</v>
      </c>
      <c r="BC28" s="3" t="str">
        <f>HYPERLINK("https://patentscout.innography.com/share/T6Vknje6jEZqE25WCE0Z5Q%3D%3D","KR102420359")</f>
        <v>KR102420359</v>
      </c>
      <c r="BD28" s="2" t="s">
        <v>825</v>
      </c>
      <c r="BE28" s="2" t="s">
        <v>826</v>
      </c>
      <c r="BF28" s="2" t="s">
        <v>827</v>
      </c>
      <c r="BG28" s="2" t="str">
        <f>HYPERLINK("https://patentscout.innography.com/share/T6Vknje6jEZqE25WCE0Z5Q%3D%3D/download", "Download PDF")</f>
        <v>Download PDF</v>
      </c>
      <c r="BH28" s="2" t="s">
        <v>828</v>
      </c>
      <c r="BI28" s="2"/>
      <c r="BJ28" s="2" t="s">
        <v>829</v>
      </c>
      <c r="BK28" s="2" t="s">
        <v>829</v>
      </c>
      <c r="BL28" s="2" t="s">
        <v>829</v>
      </c>
      <c r="BM28" s="2"/>
      <c r="BN28" s="2"/>
      <c r="BO28" s="2"/>
      <c r="BP28" s="2"/>
      <c r="BQ28" s="2"/>
      <c r="BR28" s="2"/>
      <c r="BS28" s="2"/>
      <c r="BT28" s="2"/>
      <c r="BU28" s="2"/>
      <c r="BV28" s="2"/>
      <c r="BW28" s="2"/>
      <c r="BX28" s="2"/>
      <c r="BY28" s="2"/>
      <c r="BZ28" s="2"/>
      <c r="CA28" s="2"/>
      <c r="CB28" s="2"/>
      <c r="CC28" s="2" t="s">
        <v>243</v>
      </c>
      <c r="CD28" s="2" t="str">
        <f>HYPERLINK("https://patentscout.innography.com/share/T6Vknje6jEZqE25WCE0Z5Q%3D%3D", "Innography Link")</f>
        <v>Innography Link</v>
      </c>
      <c r="CE28" s="2"/>
      <c r="CF28" s="2"/>
      <c r="CG28" s="2"/>
      <c r="CH28" s="2"/>
      <c r="CI28" s="2"/>
      <c r="CK28" s="2" t="s">
        <v>830</v>
      </c>
      <c r="CL28" s="2" t="s">
        <v>780</v>
      </c>
      <c r="CM28" s="2" t="s">
        <v>831</v>
      </c>
    </row>
    <row r="29" spans="1:98" ht="152" customHeight="1" x14ac:dyDescent="0.45">
      <c r="A29" s="2">
        <v>0</v>
      </c>
      <c r="B29" s="2">
        <v>0</v>
      </c>
      <c r="C29" s="2"/>
      <c r="D29" s="2"/>
      <c r="E29" s="2"/>
      <c r="F29" s="2" t="s">
        <v>832</v>
      </c>
      <c r="G29" s="2" t="s">
        <v>832</v>
      </c>
      <c r="H29" s="2" t="s">
        <v>833</v>
      </c>
      <c r="I29" s="2" t="s">
        <v>833</v>
      </c>
      <c r="J29" s="2" t="s">
        <v>834</v>
      </c>
      <c r="K29" s="2" t="s">
        <v>832</v>
      </c>
      <c r="L29" s="2" t="s">
        <v>832</v>
      </c>
      <c r="M29" s="2" t="s">
        <v>835</v>
      </c>
      <c r="N29" s="2" t="s">
        <v>836</v>
      </c>
      <c r="O29" s="2"/>
      <c r="P29" s="2" t="s">
        <v>837</v>
      </c>
      <c r="Q29" s="2" t="s">
        <v>838</v>
      </c>
      <c r="R29" s="2" t="s">
        <v>838</v>
      </c>
      <c r="S29" s="2" t="s">
        <v>837</v>
      </c>
      <c r="T29" s="2">
        <v>87</v>
      </c>
      <c r="U29" s="2">
        <v>17</v>
      </c>
      <c r="V29" s="2" t="s">
        <v>839</v>
      </c>
      <c r="W29" s="2"/>
      <c r="X29" s="2"/>
      <c r="Y29" s="2"/>
      <c r="Z29" s="2" t="s">
        <v>840</v>
      </c>
      <c r="AA29" s="2" t="s">
        <v>841</v>
      </c>
      <c r="AB29" s="2">
        <v>20</v>
      </c>
      <c r="AC29" s="2" t="s">
        <v>235</v>
      </c>
      <c r="AD29" s="2" t="s">
        <v>842</v>
      </c>
      <c r="AE29" s="2">
        <v>366</v>
      </c>
      <c r="AF29" s="2" t="s">
        <v>141</v>
      </c>
      <c r="AG29" s="2"/>
      <c r="AH29" s="2"/>
      <c r="AI29" s="2"/>
      <c r="AJ29" s="2"/>
      <c r="AK29" s="2" t="s">
        <v>217</v>
      </c>
      <c r="AL29" s="2" t="s">
        <v>298</v>
      </c>
      <c r="AM29" s="2" t="s">
        <v>298</v>
      </c>
      <c r="AN29" s="2" t="s">
        <v>359</v>
      </c>
      <c r="AO29" s="2" t="s">
        <v>843</v>
      </c>
      <c r="AP29" s="2">
        <v>705348000</v>
      </c>
      <c r="AQ29" s="2">
        <v>705348000</v>
      </c>
      <c r="AR29" s="2" t="s">
        <v>541</v>
      </c>
      <c r="AS29" s="2">
        <v>82407268</v>
      </c>
      <c r="AT29" s="2" t="s">
        <v>844</v>
      </c>
      <c r="AU29" s="2"/>
      <c r="AV29" s="2"/>
      <c r="AW29" s="2" t="s">
        <v>336</v>
      </c>
      <c r="AX29" s="2">
        <v>89048742</v>
      </c>
      <c r="AY29" s="2" t="s">
        <v>845</v>
      </c>
      <c r="AZ29" s="2" t="s">
        <v>846</v>
      </c>
      <c r="BA29" s="2" t="s">
        <v>847</v>
      </c>
      <c r="BB29" s="2">
        <v>0</v>
      </c>
      <c r="BC29" s="3" t="str">
        <f>HYPERLINK("https://patentscout.innography.com/share/e58HmN3l4gDL_f9i4IeHgQ%3D%3D","KR102418443")</f>
        <v>KR102418443</v>
      </c>
      <c r="BD29" s="2" t="s">
        <v>848</v>
      </c>
      <c r="BE29" s="2" t="s">
        <v>849</v>
      </c>
      <c r="BF29" s="2" t="s">
        <v>850</v>
      </c>
      <c r="BG29" s="2" t="str">
        <f>HYPERLINK("https://patentscout.innography.com/share/e58HmN3l4gDL_f9i4IeHgQ%3D%3D/download", "Download PDF")</f>
        <v>Download PDF</v>
      </c>
      <c r="BH29" s="2" t="s">
        <v>851</v>
      </c>
      <c r="BI29" s="2"/>
      <c r="BJ29" s="2" t="s">
        <v>852</v>
      </c>
      <c r="BK29" s="2" t="s">
        <v>852</v>
      </c>
      <c r="BL29" s="2" t="s">
        <v>852</v>
      </c>
      <c r="BM29" s="2"/>
      <c r="BN29" s="2"/>
      <c r="BO29" s="2"/>
      <c r="BP29" s="2"/>
      <c r="BQ29" s="2"/>
      <c r="BR29" s="2"/>
      <c r="BS29" s="2"/>
      <c r="BT29" s="2"/>
      <c r="BU29" s="2"/>
      <c r="BV29" s="2"/>
      <c r="BW29" s="2"/>
      <c r="BX29" s="2"/>
      <c r="BY29" s="2"/>
      <c r="BZ29" s="2"/>
      <c r="CA29" s="2"/>
      <c r="CB29" s="2"/>
      <c r="CC29" s="2" t="s">
        <v>243</v>
      </c>
      <c r="CD29" s="2" t="str">
        <f>HYPERLINK("https://patentscout.innography.com/share/e58HmN3l4gDL_f9i4IeHgQ%3D%3D", "Innography Link")</f>
        <v>Innography Link</v>
      </c>
      <c r="CE29" s="2"/>
      <c r="CF29" s="2"/>
      <c r="CG29" s="2"/>
      <c r="CH29" s="2"/>
      <c r="CI29" s="2"/>
      <c r="CK29" s="2" t="s">
        <v>853</v>
      </c>
      <c r="CL29" s="2" t="s">
        <v>854</v>
      </c>
      <c r="CM29" s="2" t="s">
        <v>372</v>
      </c>
      <c r="CN29" s="2" t="s">
        <v>855</v>
      </c>
      <c r="CO29" s="2" t="s">
        <v>856</v>
      </c>
      <c r="CP29" s="2" t="s">
        <v>857</v>
      </c>
    </row>
    <row r="30" spans="1:98" ht="152" customHeight="1" x14ac:dyDescent="0.45">
      <c r="A30" s="2">
        <v>0</v>
      </c>
      <c r="B30" s="2">
        <v>4</v>
      </c>
      <c r="C30" s="2" t="s">
        <v>858</v>
      </c>
      <c r="D30" s="2"/>
      <c r="E30" s="2" t="s">
        <v>859</v>
      </c>
      <c r="F30" s="2"/>
      <c r="G30" s="2" t="s">
        <v>859</v>
      </c>
      <c r="H30" s="2" t="s">
        <v>860</v>
      </c>
      <c r="I30" s="2" t="s">
        <v>861</v>
      </c>
      <c r="J30" s="2" t="s">
        <v>862</v>
      </c>
      <c r="K30" s="2" t="s">
        <v>859</v>
      </c>
      <c r="L30" s="2" t="s">
        <v>859</v>
      </c>
      <c r="M30" s="2" t="s">
        <v>863</v>
      </c>
      <c r="N30" s="2" t="s">
        <v>864</v>
      </c>
      <c r="O30" s="2" t="s">
        <v>865</v>
      </c>
      <c r="P30" s="2" t="s">
        <v>866</v>
      </c>
      <c r="Q30" s="2"/>
      <c r="R30" s="2"/>
      <c r="S30" s="2" t="s">
        <v>866</v>
      </c>
      <c r="T30" s="2">
        <v>87</v>
      </c>
      <c r="U30" s="2">
        <v>15</v>
      </c>
      <c r="V30" s="2" t="s">
        <v>867</v>
      </c>
      <c r="W30" s="2"/>
      <c r="X30" s="2"/>
      <c r="Y30" s="2"/>
      <c r="Z30" s="2" t="s">
        <v>868</v>
      </c>
      <c r="AA30" s="2" t="s">
        <v>869</v>
      </c>
      <c r="AB30" s="2">
        <v>20</v>
      </c>
      <c r="AC30" s="2" t="s">
        <v>139</v>
      </c>
      <c r="AD30" s="2" t="s">
        <v>866</v>
      </c>
      <c r="AE30" s="2">
        <v>112</v>
      </c>
      <c r="AF30" s="2" t="s">
        <v>141</v>
      </c>
      <c r="AG30" s="2" t="s">
        <v>796</v>
      </c>
      <c r="AH30" s="2"/>
      <c r="AI30" s="2"/>
      <c r="AJ30" s="2"/>
      <c r="AK30" s="2" t="s">
        <v>619</v>
      </c>
      <c r="AL30" s="2" t="s">
        <v>870</v>
      </c>
      <c r="AM30" s="2" t="s">
        <v>871</v>
      </c>
      <c r="AN30" s="2" t="s">
        <v>872</v>
      </c>
      <c r="AO30" s="2" t="s">
        <v>873</v>
      </c>
      <c r="AP30" s="2">
        <v>273297000</v>
      </c>
      <c r="AQ30" s="2">
        <v>273297000</v>
      </c>
      <c r="AR30" s="2" t="s">
        <v>541</v>
      </c>
      <c r="AS30" s="2">
        <v>83722368</v>
      </c>
      <c r="AT30" s="2" t="s">
        <v>874</v>
      </c>
      <c r="AU30" s="2"/>
      <c r="AV30" s="2"/>
      <c r="AW30" s="2" t="s">
        <v>624</v>
      </c>
      <c r="AX30" s="2">
        <v>92039631</v>
      </c>
      <c r="AY30" s="2" t="s">
        <v>875</v>
      </c>
      <c r="AZ30" s="2" t="s">
        <v>876</v>
      </c>
      <c r="BA30" s="2" t="s">
        <v>877</v>
      </c>
      <c r="BB30" s="2">
        <v>0</v>
      </c>
      <c r="BC30" s="3" t="str">
        <f>HYPERLINK("https://patentscout.innography.com/share/U3xmD6MJqHB2gh36Ywpn5Q%3D%3D","WO2022225103")</f>
        <v>WO2022225103</v>
      </c>
      <c r="BD30" s="2" t="s">
        <v>878</v>
      </c>
      <c r="BE30" s="2" t="s">
        <v>879</v>
      </c>
      <c r="BF30" s="2" t="s">
        <v>880</v>
      </c>
      <c r="BG30" s="2" t="str">
        <f>HYPERLINK("https://patentscout.innography.com/share/U3xmD6MJqHB2gh36Ywpn5Q%3D%3D/download", "Download PDF")</f>
        <v>Download PDF</v>
      </c>
      <c r="BH30" s="2" t="s">
        <v>881</v>
      </c>
      <c r="BI30" s="2"/>
      <c r="BJ30" s="2" t="s">
        <v>882</v>
      </c>
      <c r="BK30" s="2" t="s">
        <v>883</v>
      </c>
      <c r="BL30" s="2" t="s">
        <v>884</v>
      </c>
      <c r="BM30" s="2"/>
      <c r="BN30" s="2"/>
      <c r="BO30" s="2"/>
      <c r="BP30" s="2"/>
      <c r="BQ30" s="2"/>
      <c r="BR30" s="2"/>
      <c r="BS30" s="2"/>
      <c r="BT30" s="2"/>
      <c r="BU30" s="2" t="s">
        <v>885</v>
      </c>
      <c r="BV30" s="2"/>
      <c r="BW30" s="2"/>
      <c r="BX30" s="2"/>
      <c r="BY30" s="2"/>
      <c r="BZ30" s="2"/>
      <c r="CA30" s="2"/>
      <c r="CB30" s="2"/>
      <c r="CC30" s="2" t="s">
        <v>635</v>
      </c>
      <c r="CD30" s="2" t="str">
        <f>HYPERLINK("https://patentscout.innography.com/share/U3xmD6MJqHB2gh36Ywpn5Q%3D%3D", "Innography Link")</f>
        <v>Innography Link</v>
      </c>
      <c r="CE30" s="2"/>
      <c r="CF30" s="2"/>
      <c r="CG30" s="2"/>
      <c r="CH30" s="2"/>
      <c r="CI30" s="2"/>
      <c r="CK30" s="2" t="s">
        <v>886</v>
      </c>
    </row>
    <row r="31" spans="1:98" ht="152" customHeight="1" x14ac:dyDescent="0.45">
      <c r="A31" s="2">
        <v>0</v>
      </c>
      <c r="B31" s="2">
        <v>0</v>
      </c>
      <c r="C31" s="2"/>
      <c r="D31" s="2"/>
      <c r="E31" s="2" t="s">
        <v>887</v>
      </c>
      <c r="F31" s="2" t="s">
        <v>888</v>
      </c>
      <c r="G31" s="2" t="s">
        <v>888</v>
      </c>
      <c r="H31" s="2" t="s">
        <v>860</v>
      </c>
      <c r="I31" s="2" t="s">
        <v>889</v>
      </c>
      <c r="J31" s="2" t="s">
        <v>890</v>
      </c>
      <c r="K31" s="2" t="s">
        <v>887</v>
      </c>
      <c r="L31" s="2" t="s">
        <v>859</v>
      </c>
      <c r="M31" s="2" t="s">
        <v>891</v>
      </c>
      <c r="N31" s="2" t="s">
        <v>892</v>
      </c>
      <c r="O31" s="2"/>
      <c r="P31" s="2"/>
      <c r="Q31" s="2"/>
      <c r="R31" s="2"/>
      <c r="S31" s="2"/>
      <c r="T31" s="2">
        <v>87</v>
      </c>
      <c r="U31" s="2">
        <v>20</v>
      </c>
      <c r="V31" s="2" t="s">
        <v>893</v>
      </c>
      <c r="W31" s="2"/>
      <c r="X31" s="2"/>
      <c r="Y31" s="2"/>
      <c r="Z31" s="2" t="s">
        <v>894</v>
      </c>
      <c r="AA31" s="2" t="s">
        <v>895</v>
      </c>
      <c r="AB31" s="2">
        <v>20</v>
      </c>
      <c r="AC31" s="2" t="s">
        <v>235</v>
      </c>
      <c r="AD31" s="2" t="s">
        <v>866</v>
      </c>
      <c r="AE31" s="2">
        <v>530</v>
      </c>
      <c r="AF31" s="2" t="s">
        <v>141</v>
      </c>
      <c r="AG31" s="2"/>
      <c r="AH31" s="2"/>
      <c r="AI31" s="2" t="s">
        <v>896</v>
      </c>
      <c r="AJ31" s="2"/>
      <c r="AK31" s="2" t="s">
        <v>217</v>
      </c>
      <c r="AL31" s="2" t="s">
        <v>897</v>
      </c>
      <c r="AM31" s="2" t="s">
        <v>898</v>
      </c>
      <c r="AN31" s="2" t="s">
        <v>872</v>
      </c>
      <c r="AO31" s="2" t="s">
        <v>873</v>
      </c>
      <c r="AP31" s="2">
        <v>273297000</v>
      </c>
      <c r="AQ31" s="2">
        <v>273297000</v>
      </c>
      <c r="AR31" s="2" t="s">
        <v>146</v>
      </c>
      <c r="AS31" s="2">
        <v>84042486</v>
      </c>
      <c r="AT31" s="2" t="s">
        <v>899</v>
      </c>
      <c r="AU31" s="2"/>
      <c r="AV31" s="2"/>
      <c r="AW31" s="2" t="s">
        <v>336</v>
      </c>
      <c r="AX31" s="2">
        <v>92039631</v>
      </c>
      <c r="AY31" s="2" t="s">
        <v>875</v>
      </c>
      <c r="AZ31" s="2" t="s">
        <v>900</v>
      </c>
      <c r="BA31" s="2" t="s">
        <v>901</v>
      </c>
      <c r="BB31" s="2">
        <v>0</v>
      </c>
      <c r="BC31" s="3" t="str">
        <f>HYPERLINK("https://patentscout.innography.com/share/3XiMlJQoRvZ2bEvh8081pg%3D%3D","KR102463019")</f>
        <v>KR102463019</v>
      </c>
      <c r="BD31" s="2" t="s">
        <v>902</v>
      </c>
      <c r="BE31" s="2" t="s">
        <v>903</v>
      </c>
      <c r="BF31" s="2" t="s">
        <v>904</v>
      </c>
      <c r="BG31" s="2" t="str">
        <f>HYPERLINK("https://patentscout.innography.com/share/3XiMlJQoRvZ2bEvh8081pg%3D%3D/download", "Download PDF")</f>
        <v>Download PDF</v>
      </c>
      <c r="BH31" s="2" t="s">
        <v>905</v>
      </c>
      <c r="BI31" s="2"/>
      <c r="BJ31" s="2" t="s">
        <v>884</v>
      </c>
      <c r="BK31" s="2" t="s">
        <v>884</v>
      </c>
      <c r="BL31" s="2" t="s">
        <v>884</v>
      </c>
      <c r="BM31" s="2"/>
      <c r="BN31" s="2"/>
      <c r="BO31" s="2"/>
      <c r="BP31" s="2"/>
      <c r="BQ31" s="2"/>
      <c r="BR31" s="2"/>
      <c r="BS31" s="2"/>
      <c r="BT31" s="2"/>
      <c r="BU31" s="2"/>
      <c r="BV31" s="2"/>
      <c r="BW31" s="2"/>
      <c r="BX31" s="2"/>
      <c r="BY31" s="2"/>
      <c r="BZ31" s="2"/>
      <c r="CA31" s="2"/>
      <c r="CB31" s="2"/>
      <c r="CC31" s="2" t="s">
        <v>243</v>
      </c>
      <c r="CD31" s="2" t="str">
        <f>HYPERLINK("https://patentscout.innography.com/share/3XiMlJQoRvZ2bEvh8081pg%3D%3D", "Innography Link")</f>
        <v>Innography Link</v>
      </c>
      <c r="CE31" s="2"/>
      <c r="CF31" s="2"/>
      <c r="CG31" s="2"/>
      <c r="CH31" s="2"/>
      <c r="CI31" s="2"/>
      <c r="CK31" s="2" t="s">
        <v>906</v>
      </c>
      <c r="CL31" s="2" t="s">
        <v>444</v>
      </c>
      <c r="CM31" s="2" t="s">
        <v>602</v>
      </c>
      <c r="CN31" s="2" t="s">
        <v>372</v>
      </c>
      <c r="CO31" s="2" t="s">
        <v>907</v>
      </c>
    </row>
    <row r="32" spans="1:98" ht="152" customHeight="1" x14ac:dyDescent="0.45">
      <c r="A32" s="2">
        <v>0</v>
      </c>
      <c r="B32" s="2">
        <v>4</v>
      </c>
      <c r="C32" s="2" t="s">
        <v>908</v>
      </c>
      <c r="D32" s="2"/>
      <c r="E32" s="2" t="s">
        <v>887</v>
      </c>
      <c r="F32" s="2" t="s">
        <v>888</v>
      </c>
      <c r="G32" s="2" t="s">
        <v>887</v>
      </c>
      <c r="H32" s="2" t="s">
        <v>860</v>
      </c>
      <c r="I32" s="2" t="s">
        <v>889</v>
      </c>
      <c r="J32" s="2" t="s">
        <v>890</v>
      </c>
      <c r="K32" s="2" t="s">
        <v>887</v>
      </c>
      <c r="L32" s="2" t="s">
        <v>859</v>
      </c>
      <c r="M32" s="2" t="s">
        <v>891</v>
      </c>
      <c r="N32" s="2" t="s">
        <v>892</v>
      </c>
      <c r="O32" s="2"/>
      <c r="P32" s="2" t="s">
        <v>866</v>
      </c>
      <c r="Q32" s="2"/>
      <c r="R32" s="2"/>
      <c r="S32" s="2" t="s">
        <v>866</v>
      </c>
      <c r="T32" s="2">
        <v>87</v>
      </c>
      <c r="U32" s="2">
        <v>15</v>
      </c>
      <c r="V32" s="2" t="s">
        <v>893</v>
      </c>
      <c r="W32" s="2"/>
      <c r="X32" s="2"/>
      <c r="Y32" s="2"/>
      <c r="Z32" s="2" t="s">
        <v>909</v>
      </c>
      <c r="AA32" s="2" t="s">
        <v>910</v>
      </c>
      <c r="AB32" s="2">
        <v>20</v>
      </c>
      <c r="AC32" s="2" t="s">
        <v>214</v>
      </c>
      <c r="AD32" s="2" t="s">
        <v>866</v>
      </c>
      <c r="AE32" s="2">
        <v>107</v>
      </c>
      <c r="AF32" s="2" t="s">
        <v>141</v>
      </c>
      <c r="AG32" s="2"/>
      <c r="AH32" s="2"/>
      <c r="AI32" s="2" t="s">
        <v>911</v>
      </c>
      <c r="AJ32" s="2"/>
      <c r="AK32" s="2" t="s">
        <v>217</v>
      </c>
      <c r="AL32" s="2" t="s">
        <v>897</v>
      </c>
      <c r="AM32" s="2" t="s">
        <v>898</v>
      </c>
      <c r="AN32" s="2" t="s">
        <v>872</v>
      </c>
      <c r="AO32" s="2" t="s">
        <v>873</v>
      </c>
      <c r="AP32" s="2">
        <v>273297000</v>
      </c>
      <c r="AQ32" s="2">
        <v>273297000</v>
      </c>
      <c r="AR32" s="2" t="s">
        <v>541</v>
      </c>
      <c r="AS32" s="2">
        <v>84042486</v>
      </c>
      <c r="AT32" s="2" t="s">
        <v>899</v>
      </c>
      <c r="AU32" s="2"/>
      <c r="AV32" s="2"/>
      <c r="AW32" s="2" t="s">
        <v>219</v>
      </c>
      <c r="AX32" s="2">
        <v>92039631</v>
      </c>
      <c r="AY32" s="2" t="s">
        <v>875</v>
      </c>
      <c r="AZ32" s="2" t="s">
        <v>900</v>
      </c>
      <c r="BA32" s="2" t="s">
        <v>901</v>
      </c>
      <c r="BB32" s="2">
        <v>0</v>
      </c>
      <c r="BC32" s="3" t="str">
        <f>HYPERLINK("https://patentscout.innography.com/share/LNxPhVi02R3_FeVSFYF88A%3D%3D","KR20220146298")</f>
        <v>KR20220146298</v>
      </c>
      <c r="BD32" s="2" t="s">
        <v>912</v>
      </c>
      <c r="BE32" s="2" t="s">
        <v>903</v>
      </c>
      <c r="BF32" s="2" t="s">
        <v>913</v>
      </c>
      <c r="BG32" s="2" t="str">
        <f>HYPERLINK("https://patentscout.innography.com/share/LNxPhVi02R3_FeVSFYF88A%3D%3D/download", "Download PDF")</f>
        <v>Download PDF</v>
      </c>
      <c r="BH32" s="2" t="s">
        <v>914</v>
      </c>
      <c r="BI32" s="2"/>
      <c r="BJ32" s="2" t="s">
        <v>884</v>
      </c>
      <c r="BK32" s="2" t="s">
        <v>884</v>
      </c>
      <c r="BL32" s="2" t="s">
        <v>884</v>
      </c>
      <c r="BM32" s="2"/>
      <c r="BN32" s="2"/>
      <c r="BO32" s="2"/>
      <c r="BP32" s="2"/>
      <c r="BQ32" s="2"/>
      <c r="BR32" s="2"/>
      <c r="BS32" s="2"/>
      <c r="BT32" s="2"/>
      <c r="BU32" s="2"/>
      <c r="BV32" s="2"/>
      <c r="BW32" s="2"/>
      <c r="BX32" s="2"/>
      <c r="BY32" s="2"/>
      <c r="BZ32" s="2"/>
      <c r="CA32" s="2"/>
      <c r="CB32" s="2"/>
      <c r="CC32" s="2" t="s">
        <v>228</v>
      </c>
      <c r="CD32" s="2" t="str">
        <f>HYPERLINK("https://patentscout.innography.com/share/LNxPhVi02R3_FeVSFYF88A%3D%3D", "Innography Link")</f>
        <v>Innography Link</v>
      </c>
      <c r="CE32" s="2"/>
      <c r="CF32" s="2"/>
      <c r="CG32" s="2"/>
      <c r="CH32" s="2"/>
      <c r="CI32" s="2"/>
      <c r="CK32" s="2" t="s">
        <v>915</v>
      </c>
    </row>
    <row r="33" spans="1:97" ht="152" customHeight="1" x14ac:dyDescent="0.45">
      <c r="A33" s="2">
        <v>0</v>
      </c>
      <c r="B33" s="2">
        <v>13</v>
      </c>
      <c r="C33" s="2" t="s">
        <v>916</v>
      </c>
      <c r="D33" s="2"/>
      <c r="E33" s="2" t="s">
        <v>375</v>
      </c>
      <c r="F33" s="2" t="s">
        <v>917</v>
      </c>
      <c r="G33" s="2" t="s">
        <v>917</v>
      </c>
      <c r="H33" s="2" t="s">
        <v>377</v>
      </c>
      <c r="I33" s="2" t="s">
        <v>377</v>
      </c>
      <c r="J33" s="2" t="s">
        <v>918</v>
      </c>
      <c r="K33" s="2" t="s">
        <v>375</v>
      </c>
      <c r="L33" s="2" t="s">
        <v>375</v>
      </c>
      <c r="M33" s="2" t="s">
        <v>919</v>
      </c>
      <c r="N33" s="2" t="s">
        <v>920</v>
      </c>
      <c r="O33" s="2"/>
      <c r="P33" s="2" t="s">
        <v>381</v>
      </c>
      <c r="Q33" s="2" t="s">
        <v>382</v>
      </c>
      <c r="R33" s="2" t="s">
        <v>382</v>
      </c>
      <c r="S33" s="2" t="s">
        <v>381</v>
      </c>
      <c r="T33" s="2">
        <v>87</v>
      </c>
      <c r="U33" s="2">
        <v>68</v>
      </c>
      <c r="V33" s="2" t="s">
        <v>921</v>
      </c>
      <c r="W33" s="2" t="s">
        <v>385</v>
      </c>
      <c r="X33" s="2">
        <v>2173</v>
      </c>
      <c r="Y33" s="2" t="s">
        <v>386</v>
      </c>
      <c r="Z33" s="2" t="s">
        <v>922</v>
      </c>
      <c r="AA33" s="2" t="s">
        <v>923</v>
      </c>
      <c r="AB33" s="2">
        <v>25</v>
      </c>
      <c r="AC33" s="2" t="s">
        <v>250</v>
      </c>
      <c r="AD33" s="2" t="s">
        <v>924</v>
      </c>
      <c r="AE33" s="2">
        <v>163</v>
      </c>
      <c r="AF33" s="2" t="s">
        <v>141</v>
      </c>
      <c r="AG33" s="2"/>
      <c r="AH33" s="2"/>
      <c r="AI33" s="2" t="s">
        <v>925</v>
      </c>
      <c r="AJ33" s="2"/>
      <c r="AK33" s="2" t="s">
        <v>142</v>
      </c>
      <c r="AL33" s="2" t="s">
        <v>926</v>
      </c>
      <c r="AM33" s="2" t="s">
        <v>927</v>
      </c>
      <c r="AN33" s="2" t="s">
        <v>251</v>
      </c>
      <c r="AO33" s="2" t="s">
        <v>928</v>
      </c>
      <c r="AP33" s="2">
        <v>715753000</v>
      </c>
      <c r="AQ33" s="2" t="s">
        <v>929</v>
      </c>
      <c r="AR33" s="2" t="s">
        <v>514</v>
      </c>
      <c r="AS33" s="2">
        <v>40845572</v>
      </c>
      <c r="AT33" s="2" t="s">
        <v>930</v>
      </c>
      <c r="AU33" s="2" t="s">
        <v>921</v>
      </c>
      <c r="AV33" s="2" t="s">
        <v>931</v>
      </c>
      <c r="AW33" s="2" t="s">
        <v>416</v>
      </c>
      <c r="AX33" s="2">
        <v>91387925</v>
      </c>
      <c r="AY33" s="2" t="s">
        <v>932</v>
      </c>
      <c r="AZ33" s="2" t="s">
        <v>933</v>
      </c>
      <c r="BA33" s="2" t="s">
        <v>934</v>
      </c>
      <c r="BB33" s="2">
        <v>0</v>
      </c>
      <c r="BC33" s="3" t="str">
        <f>HYPERLINK("https://patentscout.innography.com/share/QdIy7KE2g_J_X5HOUlY3lg%3D%3D","US8990707")</f>
        <v>US8990707</v>
      </c>
      <c r="BD33" s="2" t="s">
        <v>935</v>
      </c>
      <c r="BE33" s="2" t="s">
        <v>936</v>
      </c>
      <c r="BF33" s="2" t="s">
        <v>937</v>
      </c>
      <c r="BG33" s="2" t="str">
        <f>HYPERLINK("https://patentscout.innography.com/share/QdIy7KE2g_J_X5HOUlY3lg%3D%3D/download", "Download PDF")</f>
        <v>Download PDF</v>
      </c>
      <c r="BH33" s="2" t="s">
        <v>938</v>
      </c>
      <c r="BI33" s="2"/>
      <c r="BJ33" s="2" t="s">
        <v>925</v>
      </c>
      <c r="BK33" s="2" t="s">
        <v>925</v>
      </c>
      <c r="BL33" s="2" t="s">
        <v>925</v>
      </c>
      <c r="BM33" s="2" t="s">
        <v>313</v>
      </c>
      <c r="BN33" s="2" t="s">
        <v>939</v>
      </c>
      <c r="BO33" s="2" t="s">
        <v>940</v>
      </c>
      <c r="BP33" s="2"/>
      <c r="BQ33" s="2" t="s">
        <v>941</v>
      </c>
      <c r="BR33" s="2" t="s">
        <v>942</v>
      </c>
      <c r="BS33" s="2" t="s">
        <v>943</v>
      </c>
      <c r="BT33" s="2" t="s">
        <v>944</v>
      </c>
      <c r="BU33" s="2"/>
      <c r="BV33" s="2" t="s">
        <v>406</v>
      </c>
      <c r="BW33" s="2" t="s">
        <v>204</v>
      </c>
      <c r="BX33" s="2"/>
      <c r="BY33" s="2"/>
      <c r="BZ33" s="2"/>
      <c r="CA33" s="2"/>
      <c r="CB33" s="2"/>
      <c r="CC33" s="2" t="s">
        <v>259</v>
      </c>
      <c r="CD33" s="2" t="str">
        <f>HYPERLINK("https://patentscout.innography.com/share/QdIy7KE2g_J_X5HOUlY3lg%3D%3D", "Innography Link")</f>
        <v>Innography Link</v>
      </c>
      <c r="CE33" s="2"/>
      <c r="CF33" s="2"/>
      <c r="CG33" s="2"/>
      <c r="CH33" s="2"/>
      <c r="CI33" s="2"/>
      <c r="CK33" s="2" t="s">
        <v>945</v>
      </c>
      <c r="CL33" s="2" t="s">
        <v>946</v>
      </c>
      <c r="CM33" s="2" t="s">
        <v>947</v>
      </c>
      <c r="CN33" s="2" t="s">
        <v>948</v>
      </c>
      <c r="CO33" s="2" t="s">
        <v>949</v>
      </c>
    </row>
    <row r="34" spans="1:97" ht="152" customHeight="1" x14ac:dyDescent="0.45">
      <c r="A34" s="2">
        <v>0</v>
      </c>
      <c r="B34" s="2">
        <v>2</v>
      </c>
      <c r="C34" s="2" t="s">
        <v>950</v>
      </c>
      <c r="D34" s="2"/>
      <c r="E34" s="2"/>
      <c r="F34" s="2" t="s">
        <v>951</v>
      </c>
      <c r="G34" s="2" t="s">
        <v>951</v>
      </c>
      <c r="H34" s="2" t="s">
        <v>952</v>
      </c>
      <c r="I34" s="2" t="s">
        <v>953</v>
      </c>
      <c r="J34" s="2" t="s">
        <v>954</v>
      </c>
      <c r="K34" s="2" t="s">
        <v>951</v>
      </c>
      <c r="L34" s="2" t="s">
        <v>951</v>
      </c>
      <c r="M34" s="2" t="s">
        <v>955</v>
      </c>
      <c r="N34" s="2" t="s">
        <v>956</v>
      </c>
      <c r="O34" s="2" t="s">
        <v>957</v>
      </c>
      <c r="P34" s="2" t="s">
        <v>958</v>
      </c>
      <c r="Q34" s="2" t="s">
        <v>958</v>
      </c>
      <c r="R34" s="2" t="s">
        <v>959</v>
      </c>
      <c r="S34" s="2" t="s">
        <v>958</v>
      </c>
      <c r="T34" s="2">
        <v>87</v>
      </c>
      <c r="U34" s="2">
        <v>6</v>
      </c>
      <c r="V34" s="2" t="s">
        <v>960</v>
      </c>
      <c r="W34" s="2"/>
      <c r="X34" s="2"/>
      <c r="Y34" s="2"/>
      <c r="Z34" s="2" t="s">
        <v>961</v>
      </c>
      <c r="AA34" s="2" t="s">
        <v>962</v>
      </c>
      <c r="AB34" s="2">
        <v>12</v>
      </c>
      <c r="AC34" s="2" t="s">
        <v>235</v>
      </c>
      <c r="AD34" s="2" t="s">
        <v>963</v>
      </c>
      <c r="AE34" s="2">
        <v>403</v>
      </c>
      <c r="AF34" s="2" t="s">
        <v>141</v>
      </c>
      <c r="AG34" s="2"/>
      <c r="AH34" s="2"/>
      <c r="AI34" s="2"/>
      <c r="AJ34" s="2"/>
      <c r="AK34" s="2" t="s">
        <v>217</v>
      </c>
      <c r="AL34" s="2" t="s">
        <v>964</v>
      </c>
      <c r="AM34" s="2" t="s">
        <v>965</v>
      </c>
      <c r="AN34" s="2" t="s">
        <v>966</v>
      </c>
      <c r="AO34" s="2" t="s">
        <v>967</v>
      </c>
      <c r="AP34" s="2">
        <v>705004000</v>
      </c>
      <c r="AQ34" s="2">
        <v>705004000</v>
      </c>
      <c r="AR34" s="2" t="s">
        <v>253</v>
      </c>
      <c r="AS34" s="2">
        <v>77489578</v>
      </c>
      <c r="AT34" s="2" t="s">
        <v>968</v>
      </c>
      <c r="AU34" s="2"/>
      <c r="AV34" s="2"/>
      <c r="AW34" s="2" t="s">
        <v>336</v>
      </c>
      <c r="AX34" s="2">
        <v>82050284</v>
      </c>
      <c r="AY34" s="2" t="s">
        <v>969</v>
      </c>
      <c r="AZ34" s="2" t="s">
        <v>970</v>
      </c>
      <c r="BA34" s="2" t="s">
        <v>971</v>
      </c>
      <c r="BB34" s="2">
        <v>0</v>
      </c>
      <c r="BC34" s="3" t="str">
        <f>HYPERLINK("https://patentscout.innography.com/share/fiRHZDIsmqHpWW-tiSg2dA%3D%3D","KR102295799")</f>
        <v>KR102295799</v>
      </c>
      <c r="BD34" s="2" t="s">
        <v>972</v>
      </c>
      <c r="BE34" s="2" t="s">
        <v>973</v>
      </c>
      <c r="BF34" s="2" t="s">
        <v>974</v>
      </c>
      <c r="BG34" s="2" t="str">
        <f>HYPERLINK("https://patentscout.innography.com/share/fiRHZDIsmqHpWW-tiSg2dA%3D%3D/download", "Download PDF")</f>
        <v>Download PDF</v>
      </c>
      <c r="BH34" s="2" t="s">
        <v>975</v>
      </c>
      <c r="BI34" s="2"/>
      <c r="BJ34" s="2" t="s">
        <v>976</v>
      </c>
      <c r="BK34" s="2" t="s">
        <v>976</v>
      </c>
      <c r="BL34" s="2" t="s">
        <v>976</v>
      </c>
      <c r="BM34" s="2"/>
      <c r="BN34" s="2"/>
      <c r="BO34" s="2"/>
      <c r="BP34" s="2"/>
      <c r="BQ34" s="2"/>
      <c r="BR34" s="2"/>
      <c r="BS34" s="2"/>
      <c r="BT34" s="2"/>
      <c r="BU34" s="2"/>
      <c r="BV34" s="2"/>
      <c r="BW34" s="2"/>
      <c r="BX34" s="2"/>
      <c r="BY34" s="2"/>
      <c r="BZ34" s="2"/>
      <c r="CA34" s="2"/>
      <c r="CB34" s="2"/>
      <c r="CC34" s="2" t="s">
        <v>243</v>
      </c>
      <c r="CD34" s="2" t="str">
        <f>HYPERLINK("https://patentscout.innography.com/share/fiRHZDIsmqHpWW-tiSg2dA%3D%3D", "Innography Link")</f>
        <v>Innography Link</v>
      </c>
      <c r="CE34" s="2"/>
      <c r="CF34" s="2"/>
      <c r="CG34" s="2"/>
      <c r="CH34" s="2"/>
      <c r="CI34" s="2"/>
      <c r="CK34" s="2" t="s">
        <v>977</v>
      </c>
      <c r="CL34" s="2" t="s">
        <v>978</v>
      </c>
    </row>
    <row r="35" spans="1:97" ht="152" customHeight="1" x14ac:dyDescent="0.45">
      <c r="A35" s="2">
        <v>1</v>
      </c>
      <c r="B35" s="2">
        <v>6</v>
      </c>
      <c r="C35" s="2" t="s">
        <v>979</v>
      </c>
      <c r="D35" s="2" t="s">
        <v>980</v>
      </c>
      <c r="E35" s="2"/>
      <c r="F35" s="2" t="s">
        <v>981</v>
      </c>
      <c r="G35" s="2" t="s">
        <v>981</v>
      </c>
      <c r="H35" s="2" t="s">
        <v>982</v>
      </c>
      <c r="I35" s="2" t="s">
        <v>982</v>
      </c>
      <c r="J35" s="2" t="s">
        <v>983</v>
      </c>
      <c r="K35" s="2" t="s">
        <v>981</v>
      </c>
      <c r="L35" s="2" t="s">
        <v>981</v>
      </c>
      <c r="M35" s="2" t="s">
        <v>984</v>
      </c>
      <c r="N35" s="2" t="s">
        <v>985</v>
      </c>
      <c r="O35" s="2"/>
      <c r="P35" s="2" t="s">
        <v>986</v>
      </c>
      <c r="Q35" s="2"/>
      <c r="R35" s="2"/>
      <c r="S35" s="2" t="s">
        <v>986</v>
      </c>
      <c r="T35" s="2">
        <v>87</v>
      </c>
      <c r="U35" s="2">
        <v>56</v>
      </c>
      <c r="V35" s="2" t="s">
        <v>987</v>
      </c>
      <c r="W35" s="2"/>
      <c r="X35" s="2"/>
      <c r="Y35" s="2"/>
      <c r="Z35" s="2" t="s">
        <v>988</v>
      </c>
      <c r="AA35" s="2" t="s">
        <v>989</v>
      </c>
      <c r="AB35" s="2">
        <v>5</v>
      </c>
      <c r="AC35" s="2" t="s">
        <v>235</v>
      </c>
      <c r="AD35" s="2" t="s">
        <v>986</v>
      </c>
      <c r="AE35" s="2">
        <v>1016</v>
      </c>
      <c r="AF35" s="2" t="s">
        <v>141</v>
      </c>
      <c r="AG35" s="2"/>
      <c r="AH35" s="2"/>
      <c r="AI35" s="2"/>
      <c r="AJ35" s="2"/>
      <c r="AK35" s="2" t="s">
        <v>217</v>
      </c>
      <c r="AL35" s="2" t="s">
        <v>298</v>
      </c>
      <c r="AM35" s="2" t="s">
        <v>298</v>
      </c>
      <c r="AN35" s="2" t="s">
        <v>359</v>
      </c>
      <c r="AO35" s="2" t="s">
        <v>990</v>
      </c>
      <c r="AP35" s="2">
        <v>705348000</v>
      </c>
      <c r="AQ35" s="2">
        <v>705348000</v>
      </c>
      <c r="AR35" s="2" t="s">
        <v>185</v>
      </c>
      <c r="AS35" s="2">
        <v>80937489</v>
      </c>
      <c r="AT35" s="2" t="s">
        <v>991</v>
      </c>
      <c r="AU35" s="2"/>
      <c r="AV35" s="2"/>
      <c r="AW35" s="2" t="s">
        <v>336</v>
      </c>
      <c r="AX35" s="2">
        <v>86954797</v>
      </c>
      <c r="AY35" s="2" t="s">
        <v>992</v>
      </c>
      <c r="AZ35" s="2" t="s">
        <v>993</v>
      </c>
      <c r="BA35" s="2" t="s">
        <v>994</v>
      </c>
      <c r="BB35" s="2">
        <v>0</v>
      </c>
      <c r="BC35" s="3" t="str">
        <f>HYPERLINK("https://patentscout.innography.com/share/aLFzhj96-Of3axpylibS2g%3D%3D","KR102376390")</f>
        <v>KR102376390</v>
      </c>
      <c r="BD35" s="2" t="s">
        <v>995</v>
      </c>
      <c r="BE35" s="2" t="s">
        <v>996</v>
      </c>
      <c r="BF35" s="2" t="s">
        <v>997</v>
      </c>
      <c r="BG35" s="2" t="str">
        <f>HYPERLINK("https://patentscout.innography.com/share/aLFzhj96-Of3axpylibS2g%3D%3D/download", "Download PDF")</f>
        <v>Download PDF</v>
      </c>
      <c r="BH35" s="2" t="s">
        <v>998</v>
      </c>
      <c r="BI35" s="2"/>
      <c r="BJ35" s="2" t="s">
        <v>999</v>
      </c>
      <c r="BK35" s="2" t="s">
        <v>999</v>
      </c>
      <c r="BL35" s="2" t="s">
        <v>999</v>
      </c>
      <c r="BM35" s="2"/>
      <c r="BN35" s="2"/>
      <c r="BO35" s="2"/>
      <c r="BP35" s="2"/>
      <c r="BQ35" s="2"/>
      <c r="BR35" s="2"/>
      <c r="BS35" s="2"/>
      <c r="BT35" s="2"/>
      <c r="BU35" s="2"/>
      <c r="BV35" s="2"/>
      <c r="BW35" s="2"/>
      <c r="BX35" s="2"/>
      <c r="BY35" s="2"/>
      <c r="BZ35" s="2"/>
      <c r="CA35" s="2"/>
      <c r="CB35" s="2"/>
      <c r="CC35" s="2" t="s">
        <v>243</v>
      </c>
      <c r="CD35" s="2" t="str">
        <f>HYPERLINK("https://patentscout.innography.com/share/aLFzhj96-Of3axpylibS2g%3D%3D", "Innography Link")</f>
        <v>Innography Link</v>
      </c>
      <c r="CE35" s="2"/>
      <c r="CF35" s="2"/>
      <c r="CG35" s="2"/>
      <c r="CH35" s="2"/>
      <c r="CI35" s="2"/>
      <c r="CK35" s="2" t="s">
        <v>1000</v>
      </c>
    </row>
    <row r="36" spans="1:97" ht="152" customHeight="1" x14ac:dyDescent="0.45">
      <c r="A36" s="2">
        <v>0</v>
      </c>
      <c r="B36" s="2">
        <v>4</v>
      </c>
      <c r="C36" s="2" t="s">
        <v>1001</v>
      </c>
      <c r="D36" s="2"/>
      <c r="E36" s="2"/>
      <c r="F36" s="2" t="s">
        <v>1002</v>
      </c>
      <c r="G36" s="2" t="s">
        <v>1002</v>
      </c>
      <c r="H36" s="2" t="s">
        <v>1003</v>
      </c>
      <c r="I36" s="2" t="s">
        <v>1003</v>
      </c>
      <c r="J36" s="2" t="s">
        <v>1004</v>
      </c>
      <c r="K36" s="2" t="s">
        <v>1002</v>
      </c>
      <c r="L36" s="2" t="s">
        <v>1002</v>
      </c>
      <c r="M36" s="2" t="s">
        <v>1005</v>
      </c>
      <c r="N36" s="2" t="s">
        <v>1006</v>
      </c>
      <c r="O36" s="2"/>
      <c r="P36" s="2" t="s">
        <v>1007</v>
      </c>
      <c r="Q36" s="2"/>
      <c r="R36" s="2"/>
      <c r="S36" s="2" t="s">
        <v>1007</v>
      </c>
      <c r="T36" s="2">
        <v>87</v>
      </c>
      <c r="U36" s="2">
        <v>6</v>
      </c>
      <c r="V36" s="2" t="s">
        <v>1008</v>
      </c>
      <c r="W36" s="2"/>
      <c r="X36" s="2"/>
      <c r="Y36" s="2"/>
      <c r="Z36" s="2" t="s">
        <v>1009</v>
      </c>
      <c r="AA36" s="2" t="s">
        <v>1010</v>
      </c>
      <c r="AB36" s="2">
        <v>11</v>
      </c>
      <c r="AC36" s="2" t="s">
        <v>235</v>
      </c>
      <c r="AD36" s="2" t="s">
        <v>1007</v>
      </c>
      <c r="AE36" s="2">
        <v>398</v>
      </c>
      <c r="AF36" s="2" t="s">
        <v>141</v>
      </c>
      <c r="AG36" s="2"/>
      <c r="AH36" s="2"/>
      <c r="AI36" s="2"/>
      <c r="AJ36" s="2"/>
      <c r="AK36" s="2" t="s">
        <v>217</v>
      </c>
      <c r="AL36" s="2" t="s">
        <v>1011</v>
      </c>
      <c r="AM36" s="2" t="s">
        <v>1011</v>
      </c>
      <c r="AN36" s="2" t="s">
        <v>1012</v>
      </c>
      <c r="AO36" s="2" t="s">
        <v>1013</v>
      </c>
      <c r="AP36" s="2"/>
      <c r="AQ36" s="2"/>
      <c r="AR36" s="2" t="s">
        <v>253</v>
      </c>
      <c r="AS36" s="2">
        <v>81984539</v>
      </c>
      <c r="AT36" s="2" t="s">
        <v>1014</v>
      </c>
      <c r="AU36" s="2"/>
      <c r="AV36" s="2"/>
      <c r="AW36" s="2" t="s">
        <v>821</v>
      </c>
      <c r="AX36" s="2">
        <v>88614497</v>
      </c>
      <c r="AY36" s="2" t="s">
        <v>1015</v>
      </c>
      <c r="AZ36" s="2" t="s">
        <v>1016</v>
      </c>
      <c r="BA36" s="2" t="s">
        <v>1017</v>
      </c>
      <c r="BB36" s="2">
        <v>0</v>
      </c>
      <c r="BC36" s="3" t="str">
        <f>HYPERLINK("https://patentscout.innography.com/share/qZagwaYke2YdBJZ3OZ5tIg%3D%3D","KR102406852")</f>
        <v>KR102406852</v>
      </c>
      <c r="BD36" s="2" t="s">
        <v>1018</v>
      </c>
      <c r="BE36" s="2" t="s">
        <v>1019</v>
      </c>
      <c r="BF36" s="2" t="s">
        <v>1020</v>
      </c>
      <c r="BG36" s="2" t="str">
        <f>HYPERLINK("https://patentscout.innography.com/share/qZagwaYke2YdBJZ3OZ5tIg%3D%3D/download", "Download PDF")</f>
        <v>Download PDF</v>
      </c>
      <c r="BH36" s="2" t="s">
        <v>1021</v>
      </c>
      <c r="BI36" s="2"/>
      <c r="BJ36" s="2" t="s">
        <v>1022</v>
      </c>
      <c r="BK36" s="2" t="s">
        <v>1022</v>
      </c>
      <c r="BL36" s="2" t="s">
        <v>1022</v>
      </c>
      <c r="BM36" s="2"/>
      <c r="BN36" s="2"/>
      <c r="BO36" s="2"/>
      <c r="BP36" s="2"/>
      <c r="BQ36" s="2"/>
      <c r="BR36" s="2"/>
      <c r="BS36" s="2"/>
      <c r="BT36" s="2"/>
      <c r="BU36" s="2"/>
      <c r="BV36" s="2"/>
      <c r="BW36" s="2"/>
      <c r="BX36" s="2"/>
      <c r="BY36" s="2"/>
      <c r="BZ36" s="2"/>
      <c r="CA36" s="2"/>
      <c r="CB36" s="2"/>
      <c r="CC36" s="2" t="s">
        <v>243</v>
      </c>
      <c r="CD36" s="2" t="str">
        <f>HYPERLINK("https://patentscout.innography.com/share/qZagwaYke2YdBJZ3OZ5tIg%3D%3D", "Innography Link")</f>
        <v>Innography Link</v>
      </c>
      <c r="CE36" s="2"/>
      <c r="CF36" s="2"/>
      <c r="CG36" s="2"/>
      <c r="CH36" s="2"/>
      <c r="CI36" s="2"/>
      <c r="CK36" s="2" t="s">
        <v>1023</v>
      </c>
      <c r="CL36" s="2" t="s">
        <v>780</v>
      </c>
    </row>
    <row r="37" spans="1:97" ht="152" customHeight="1" x14ac:dyDescent="0.45">
      <c r="A37" s="2">
        <v>0</v>
      </c>
      <c r="B37" s="2">
        <v>4</v>
      </c>
      <c r="C37" s="2" t="s">
        <v>1024</v>
      </c>
      <c r="D37" s="2"/>
      <c r="E37" s="2"/>
      <c r="F37" s="2" t="s">
        <v>1025</v>
      </c>
      <c r="G37" s="2" t="s">
        <v>1025</v>
      </c>
      <c r="H37" s="2" t="s">
        <v>1026</v>
      </c>
      <c r="I37" s="2" t="s">
        <v>1026</v>
      </c>
      <c r="J37" s="2" t="s">
        <v>1027</v>
      </c>
      <c r="K37" s="2" t="s">
        <v>1025</v>
      </c>
      <c r="L37" s="2" t="s">
        <v>1025</v>
      </c>
      <c r="M37" s="2" t="s">
        <v>1028</v>
      </c>
      <c r="N37" s="2" t="s">
        <v>1029</v>
      </c>
      <c r="O37" s="2"/>
      <c r="P37" s="2" t="s">
        <v>1030</v>
      </c>
      <c r="Q37" s="2"/>
      <c r="R37" s="2"/>
      <c r="S37" s="2" t="s">
        <v>1030</v>
      </c>
      <c r="T37" s="2">
        <v>87</v>
      </c>
      <c r="U37" s="2">
        <v>5</v>
      </c>
      <c r="V37" s="2" t="s">
        <v>1031</v>
      </c>
      <c r="W37" s="2"/>
      <c r="X37" s="2"/>
      <c r="Y37" s="2"/>
      <c r="Z37" s="2" t="s">
        <v>1032</v>
      </c>
      <c r="AA37" s="2" t="s">
        <v>1033</v>
      </c>
      <c r="AB37" s="2">
        <v>10</v>
      </c>
      <c r="AC37" s="2" t="s">
        <v>235</v>
      </c>
      <c r="AD37" s="2" t="s">
        <v>1030</v>
      </c>
      <c r="AE37" s="2">
        <v>451</v>
      </c>
      <c r="AF37" s="2" t="s">
        <v>141</v>
      </c>
      <c r="AG37" s="2"/>
      <c r="AH37" s="2"/>
      <c r="AI37" s="2"/>
      <c r="AJ37" s="2"/>
      <c r="AK37" s="2" t="s">
        <v>217</v>
      </c>
      <c r="AL37" s="2" t="s">
        <v>1034</v>
      </c>
      <c r="AM37" s="2" t="s">
        <v>1034</v>
      </c>
      <c r="AN37" s="2" t="s">
        <v>1035</v>
      </c>
      <c r="AO37" s="2" t="s">
        <v>1036</v>
      </c>
      <c r="AP37" s="2">
        <v>715701000</v>
      </c>
      <c r="AQ37" s="2">
        <v>715701000</v>
      </c>
      <c r="AR37" s="2" t="s">
        <v>253</v>
      </c>
      <c r="AS37" s="2">
        <v>82609984</v>
      </c>
      <c r="AT37" s="2" t="s">
        <v>1037</v>
      </c>
      <c r="AU37" s="2"/>
      <c r="AV37" s="2"/>
      <c r="AW37" s="2" t="s">
        <v>336</v>
      </c>
      <c r="AX37" s="2">
        <v>89269439</v>
      </c>
      <c r="AY37" s="2" t="s">
        <v>980</v>
      </c>
      <c r="AZ37" s="2" t="s">
        <v>1038</v>
      </c>
      <c r="BA37" s="2" t="s">
        <v>1039</v>
      </c>
      <c r="BB37" s="2">
        <v>0</v>
      </c>
      <c r="BC37" s="3" t="str">
        <f>HYPERLINK("https://patentscout.innography.com/share/wBgDw2ZhRSnoUGx6nE6DFw%3D%3D","KR102424123")</f>
        <v>KR102424123</v>
      </c>
      <c r="BD37" s="2" t="s">
        <v>1040</v>
      </c>
      <c r="BE37" s="2" t="s">
        <v>1041</v>
      </c>
      <c r="BF37" s="2" t="s">
        <v>1042</v>
      </c>
      <c r="BG37" s="2" t="str">
        <f>HYPERLINK("https://patentscout.innography.com/share/wBgDw2ZhRSnoUGx6nE6DFw%3D%3D/download", "Download PDF")</f>
        <v>Download PDF</v>
      </c>
      <c r="BH37" s="2" t="s">
        <v>1043</v>
      </c>
      <c r="BI37" s="2"/>
      <c r="BJ37" s="2" t="s">
        <v>1044</v>
      </c>
      <c r="BK37" s="2" t="s">
        <v>1044</v>
      </c>
      <c r="BL37" s="2" t="s">
        <v>1044</v>
      </c>
      <c r="BM37" s="2"/>
      <c r="BN37" s="2"/>
      <c r="BO37" s="2"/>
      <c r="BP37" s="2"/>
      <c r="BQ37" s="2"/>
      <c r="BR37" s="2"/>
      <c r="BS37" s="2"/>
      <c r="BT37" s="2"/>
      <c r="BU37" s="2"/>
      <c r="BV37" s="2"/>
      <c r="BW37" s="2"/>
      <c r="BX37" s="2"/>
      <c r="BY37" s="2"/>
      <c r="BZ37" s="2"/>
      <c r="CA37" s="2"/>
      <c r="CB37" s="2"/>
      <c r="CC37" s="2" t="s">
        <v>243</v>
      </c>
      <c r="CD37" s="2" t="str">
        <f>HYPERLINK("https://patentscout.innography.com/share/wBgDw2ZhRSnoUGx6nE6DFw%3D%3D", "Innography Link")</f>
        <v>Innography Link</v>
      </c>
      <c r="CE37" s="2" t="s">
        <v>1045</v>
      </c>
      <c r="CF37" s="2" t="s">
        <v>1046</v>
      </c>
      <c r="CG37" s="2" t="s">
        <v>1047</v>
      </c>
      <c r="CH37" s="2" t="s">
        <v>1048</v>
      </c>
      <c r="CI37" s="2"/>
      <c r="CK37" s="2" t="s">
        <v>1049</v>
      </c>
      <c r="CL37" s="2" t="s">
        <v>602</v>
      </c>
      <c r="CM37" s="2" t="s">
        <v>1050</v>
      </c>
    </row>
    <row r="38" spans="1:97" ht="152" customHeight="1" x14ac:dyDescent="0.45">
      <c r="A38" s="2">
        <v>0</v>
      </c>
      <c r="B38" s="2">
        <v>4</v>
      </c>
      <c r="C38" s="2" t="s">
        <v>1051</v>
      </c>
      <c r="D38" s="2"/>
      <c r="E38" s="2"/>
      <c r="F38" s="2" t="s">
        <v>1052</v>
      </c>
      <c r="G38" s="2" t="s">
        <v>1052</v>
      </c>
      <c r="H38" s="2" t="s">
        <v>1053</v>
      </c>
      <c r="I38" s="2" t="s">
        <v>1054</v>
      </c>
      <c r="J38" s="2" t="s">
        <v>1055</v>
      </c>
      <c r="K38" s="2" t="s">
        <v>1052</v>
      </c>
      <c r="L38" s="2" t="s">
        <v>1052</v>
      </c>
      <c r="M38" s="2" t="s">
        <v>1056</v>
      </c>
      <c r="N38" s="2" t="s">
        <v>1057</v>
      </c>
      <c r="O38" s="2"/>
      <c r="P38" s="2" t="s">
        <v>1058</v>
      </c>
      <c r="Q38" s="2" t="s">
        <v>1059</v>
      </c>
      <c r="R38" s="2" t="s">
        <v>1060</v>
      </c>
      <c r="S38" s="2" t="s">
        <v>1058</v>
      </c>
      <c r="T38" s="2">
        <v>87</v>
      </c>
      <c r="U38" s="2">
        <v>5</v>
      </c>
      <c r="V38" s="2" t="s">
        <v>1061</v>
      </c>
      <c r="W38" s="2"/>
      <c r="X38" s="2"/>
      <c r="Y38" s="2"/>
      <c r="Z38" s="2" t="s">
        <v>1062</v>
      </c>
      <c r="AA38" s="2" t="s">
        <v>1063</v>
      </c>
      <c r="AB38" s="2">
        <v>9</v>
      </c>
      <c r="AC38" s="2" t="s">
        <v>235</v>
      </c>
      <c r="AD38" s="2" t="s">
        <v>1064</v>
      </c>
      <c r="AE38" s="2">
        <v>625</v>
      </c>
      <c r="AF38" s="2" t="s">
        <v>141</v>
      </c>
      <c r="AG38" s="2"/>
      <c r="AH38" s="2"/>
      <c r="AI38" s="2"/>
      <c r="AJ38" s="2"/>
      <c r="AK38" s="2" t="s">
        <v>217</v>
      </c>
      <c r="AL38" s="2" t="s">
        <v>1065</v>
      </c>
      <c r="AM38" s="2" t="s">
        <v>1065</v>
      </c>
      <c r="AN38" s="2" t="s">
        <v>1066</v>
      </c>
      <c r="AO38" s="2" t="s">
        <v>1067</v>
      </c>
      <c r="AP38" s="2">
        <v>705348000</v>
      </c>
      <c r="AQ38" s="2">
        <v>705348000</v>
      </c>
      <c r="AR38" s="2" t="s">
        <v>253</v>
      </c>
      <c r="AS38" s="2">
        <v>82700892</v>
      </c>
      <c r="AT38" s="2" t="s">
        <v>1068</v>
      </c>
      <c r="AU38" s="2"/>
      <c r="AV38" s="2"/>
      <c r="AW38" s="2" t="s">
        <v>336</v>
      </c>
      <c r="AX38" s="2">
        <v>89383095</v>
      </c>
      <c r="AY38" s="2" t="s">
        <v>1069</v>
      </c>
      <c r="AZ38" s="2" t="s">
        <v>1070</v>
      </c>
      <c r="BA38" s="2" t="s">
        <v>1071</v>
      </c>
      <c r="BB38" s="2">
        <v>0</v>
      </c>
      <c r="BC38" s="3" t="str">
        <f>HYPERLINK("https://patentscout.innography.com/share/ZEUPCnAC8dZNaBGbT4FSZA%3D%3D","KR102420840")</f>
        <v>KR102420840</v>
      </c>
      <c r="BD38" s="2" t="s">
        <v>1072</v>
      </c>
      <c r="BE38" s="2" t="s">
        <v>1073</v>
      </c>
      <c r="BF38" s="2" t="s">
        <v>1074</v>
      </c>
      <c r="BG38" s="2" t="str">
        <f>HYPERLINK("https://patentscout.innography.com/share/ZEUPCnAC8dZNaBGbT4FSZA%3D%3D/download", "Download PDF")</f>
        <v>Download PDF</v>
      </c>
      <c r="BH38" s="2" t="s">
        <v>1075</v>
      </c>
      <c r="BI38" s="2"/>
      <c r="BJ38" s="2" t="s">
        <v>1076</v>
      </c>
      <c r="BK38" s="2" t="s">
        <v>1076</v>
      </c>
      <c r="BL38" s="2" t="s">
        <v>1076</v>
      </c>
      <c r="BM38" s="2"/>
      <c r="BN38" s="2"/>
      <c r="BO38" s="2"/>
      <c r="BP38" s="2"/>
      <c r="BQ38" s="2"/>
      <c r="BR38" s="2"/>
      <c r="BS38" s="2"/>
      <c r="BT38" s="2"/>
      <c r="BU38" s="2"/>
      <c r="BV38" s="2"/>
      <c r="BW38" s="2"/>
      <c r="BX38" s="2"/>
      <c r="BY38" s="2"/>
      <c r="BZ38" s="2"/>
      <c r="CA38" s="2"/>
      <c r="CB38" s="2"/>
      <c r="CC38" s="2" t="s">
        <v>243</v>
      </c>
      <c r="CD38" s="2" t="str">
        <f>HYPERLINK("https://patentscout.innography.com/share/ZEUPCnAC8dZNaBGbT4FSZA%3D%3D", "Innography Link")</f>
        <v>Innography Link</v>
      </c>
      <c r="CE38" s="2"/>
      <c r="CF38" s="2"/>
      <c r="CG38" s="2"/>
      <c r="CH38" s="2"/>
      <c r="CI38" s="2"/>
      <c r="CK38" s="2" t="s">
        <v>1077</v>
      </c>
      <c r="CL38" s="2" t="s">
        <v>371</v>
      </c>
      <c r="CM38" s="2" t="s">
        <v>497</v>
      </c>
      <c r="CN38" s="2" t="s">
        <v>1078</v>
      </c>
      <c r="CO38" s="2" t="s">
        <v>1079</v>
      </c>
    </row>
    <row r="39" spans="1:97" ht="152" customHeight="1" x14ac:dyDescent="0.45">
      <c r="A39" s="2">
        <v>35</v>
      </c>
      <c r="B39" s="2">
        <v>11</v>
      </c>
      <c r="C39" s="2" t="s">
        <v>1080</v>
      </c>
      <c r="D39" s="2" t="s">
        <v>1081</v>
      </c>
      <c r="E39" s="2" t="s">
        <v>375</v>
      </c>
      <c r="F39" s="2" t="s">
        <v>917</v>
      </c>
      <c r="G39" s="2" t="s">
        <v>375</v>
      </c>
      <c r="H39" s="2" t="s">
        <v>377</v>
      </c>
      <c r="I39" s="2" t="s">
        <v>377</v>
      </c>
      <c r="J39" s="2" t="s">
        <v>917</v>
      </c>
      <c r="K39" s="2" t="s">
        <v>375</v>
      </c>
      <c r="L39" s="2" t="s">
        <v>375</v>
      </c>
      <c r="M39" s="2" t="s">
        <v>919</v>
      </c>
      <c r="N39" s="2" t="s">
        <v>920</v>
      </c>
      <c r="O39" s="2"/>
      <c r="P39" s="2" t="s">
        <v>381</v>
      </c>
      <c r="Q39" s="2" t="s">
        <v>382</v>
      </c>
      <c r="R39" s="2" t="s">
        <v>382</v>
      </c>
      <c r="S39" s="2" t="s">
        <v>1082</v>
      </c>
      <c r="T39" s="2">
        <v>87</v>
      </c>
      <c r="U39" s="2">
        <v>68</v>
      </c>
      <c r="V39" s="2" t="s">
        <v>921</v>
      </c>
      <c r="W39" s="2" t="s">
        <v>385</v>
      </c>
      <c r="X39" s="2">
        <v>2173</v>
      </c>
      <c r="Y39" s="2" t="s">
        <v>386</v>
      </c>
      <c r="Z39" s="2" t="s">
        <v>1083</v>
      </c>
      <c r="AA39" s="2" t="s">
        <v>1084</v>
      </c>
      <c r="AB39" s="2">
        <v>25</v>
      </c>
      <c r="AC39" s="2" t="s">
        <v>139</v>
      </c>
      <c r="AD39" s="2" t="s">
        <v>1085</v>
      </c>
      <c r="AE39" s="2">
        <v>117</v>
      </c>
      <c r="AF39" s="2" t="s">
        <v>180</v>
      </c>
      <c r="AG39" s="2"/>
      <c r="AH39" s="2"/>
      <c r="AI39" s="2" t="s">
        <v>1086</v>
      </c>
      <c r="AJ39" s="2"/>
      <c r="AK39" s="2" t="s">
        <v>142</v>
      </c>
      <c r="AL39" s="2" t="s">
        <v>926</v>
      </c>
      <c r="AM39" s="2" t="s">
        <v>927</v>
      </c>
      <c r="AN39" s="2" t="s">
        <v>251</v>
      </c>
      <c r="AO39" s="2" t="s">
        <v>251</v>
      </c>
      <c r="AP39" s="2">
        <v>715753000</v>
      </c>
      <c r="AQ39" s="2">
        <v>715753000</v>
      </c>
      <c r="AR39" s="2" t="s">
        <v>514</v>
      </c>
      <c r="AS39" s="2">
        <v>40845572</v>
      </c>
      <c r="AT39" s="2" t="s">
        <v>930</v>
      </c>
      <c r="AU39" s="2" t="s">
        <v>921</v>
      </c>
      <c r="AV39" s="2" t="s">
        <v>931</v>
      </c>
      <c r="AW39" s="2" t="s">
        <v>148</v>
      </c>
      <c r="AX39" s="2">
        <v>91387925</v>
      </c>
      <c r="AY39" s="2" t="s">
        <v>932</v>
      </c>
      <c r="AZ39" s="2" t="s">
        <v>933</v>
      </c>
      <c r="BA39" s="2" t="s">
        <v>1087</v>
      </c>
      <c r="BB39" s="2">
        <v>0</v>
      </c>
      <c r="BC39" s="3" t="str">
        <f>HYPERLINK("https://patentscout.innography.com/share/t6yUQIpRc7a6Mm2FyI9E7A%3D%3D","US20090177977")</f>
        <v>US20090177977</v>
      </c>
      <c r="BD39" s="2" t="s">
        <v>1088</v>
      </c>
      <c r="BE39" s="2" t="s">
        <v>936</v>
      </c>
      <c r="BF39" s="2" t="s">
        <v>1089</v>
      </c>
      <c r="BG39" s="2" t="str">
        <f>HYPERLINK("https://patentscout.innography.com/share/t6yUQIpRc7a6Mm2FyI9E7A%3D%3D/download", "Download PDF")</f>
        <v>Download PDF</v>
      </c>
      <c r="BH39" s="2" t="s">
        <v>1090</v>
      </c>
      <c r="BI39" s="2"/>
      <c r="BJ39" s="2" t="s">
        <v>925</v>
      </c>
      <c r="BK39" s="2" t="s">
        <v>925</v>
      </c>
      <c r="BL39" s="2" t="s">
        <v>925</v>
      </c>
      <c r="BM39" s="2" t="s">
        <v>313</v>
      </c>
      <c r="BN39" s="2" t="s">
        <v>939</v>
      </c>
      <c r="BO39" s="2" t="s">
        <v>940</v>
      </c>
      <c r="BP39" s="2"/>
      <c r="BQ39" s="2" t="s">
        <v>941</v>
      </c>
      <c r="BR39" s="2" t="s">
        <v>942</v>
      </c>
      <c r="BS39" s="2" t="s">
        <v>943</v>
      </c>
      <c r="BT39" s="2" t="s">
        <v>944</v>
      </c>
      <c r="BU39" s="2"/>
      <c r="BV39" s="2" t="s">
        <v>406</v>
      </c>
      <c r="BW39" s="2" t="s">
        <v>204</v>
      </c>
      <c r="BX39" s="2"/>
      <c r="BY39" s="2"/>
      <c r="BZ39" s="2"/>
      <c r="CA39" s="2"/>
      <c r="CB39" s="2"/>
      <c r="CC39" s="2" t="s">
        <v>158</v>
      </c>
      <c r="CD39" s="2" t="str">
        <f>HYPERLINK("https://patentscout.innography.com/share/t6yUQIpRc7a6Mm2FyI9E7A%3D%3D", "Innography Link")</f>
        <v>Innography Link</v>
      </c>
      <c r="CE39" s="2"/>
      <c r="CF39" s="2"/>
      <c r="CG39" s="2"/>
      <c r="CH39" s="2"/>
      <c r="CI39" s="2"/>
      <c r="CK39" s="2" t="s">
        <v>1091</v>
      </c>
      <c r="CL39" s="2" t="s">
        <v>1092</v>
      </c>
      <c r="CM39" s="2" t="s">
        <v>1093</v>
      </c>
      <c r="CN39" s="2" t="s">
        <v>1094</v>
      </c>
      <c r="CO39" s="2" t="s">
        <v>1095</v>
      </c>
    </row>
    <row r="40" spans="1:97" ht="152" customHeight="1" x14ac:dyDescent="0.45">
      <c r="A40" s="2">
        <v>3</v>
      </c>
      <c r="B40" s="2">
        <v>2</v>
      </c>
      <c r="C40" s="2" t="s">
        <v>1096</v>
      </c>
      <c r="D40" s="2" t="s">
        <v>1097</v>
      </c>
      <c r="E40" s="2" t="s">
        <v>1098</v>
      </c>
      <c r="F40" s="2" t="s">
        <v>1099</v>
      </c>
      <c r="G40" s="2" t="s">
        <v>1098</v>
      </c>
      <c r="H40" s="2" t="s">
        <v>377</v>
      </c>
      <c r="I40" s="2" t="s">
        <v>1100</v>
      </c>
      <c r="J40" s="2" t="s">
        <v>1099</v>
      </c>
      <c r="K40" s="2" t="s">
        <v>375</v>
      </c>
      <c r="L40" s="2" t="s">
        <v>375</v>
      </c>
      <c r="M40" s="2" t="s">
        <v>1101</v>
      </c>
      <c r="N40" s="2" t="s">
        <v>1102</v>
      </c>
      <c r="O40" s="2"/>
      <c r="P40" s="2" t="s">
        <v>1103</v>
      </c>
      <c r="Q40" s="2" t="s">
        <v>382</v>
      </c>
      <c r="R40" s="2" t="s">
        <v>382</v>
      </c>
      <c r="S40" s="2" t="s">
        <v>1103</v>
      </c>
      <c r="T40" s="2">
        <v>87</v>
      </c>
      <c r="U40" s="2">
        <v>17</v>
      </c>
      <c r="V40" s="2" t="s">
        <v>1104</v>
      </c>
      <c r="W40" s="2"/>
      <c r="X40" s="2"/>
      <c r="Y40" s="2"/>
      <c r="Z40" s="2" t="s">
        <v>1105</v>
      </c>
      <c r="AA40" s="2" t="s">
        <v>1105</v>
      </c>
      <c r="AB40" s="2">
        <v>25</v>
      </c>
      <c r="AC40" s="2" t="s">
        <v>214</v>
      </c>
      <c r="AD40" s="2" t="s">
        <v>1106</v>
      </c>
      <c r="AE40" s="2">
        <v>104</v>
      </c>
      <c r="AF40" s="2" t="s">
        <v>180</v>
      </c>
      <c r="AG40" s="2"/>
      <c r="AH40" s="2"/>
      <c r="AI40" s="2" t="s">
        <v>1107</v>
      </c>
      <c r="AJ40" s="2"/>
      <c r="AK40" s="2" t="s">
        <v>1108</v>
      </c>
      <c r="AL40" s="2" t="s">
        <v>926</v>
      </c>
      <c r="AM40" s="2" t="s">
        <v>927</v>
      </c>
      <c r="AN40" s="2" t="s">
        <v>1109</v>
      </c>
      <c r="AO40" s="2" t="s">
        <v>1110</v>
      </c>
      <c r="AP40" s="2">
        <v>345540000</v>
      </c>
      <c r="AQ40" s="2">
        <v>345540000</v>
      </c>
      <c r="AR40" s="2" t="s">
        <v>541</v>
      </c>
      <c r="AS40" s="2">
        <v>40845572</v>
      </c>
      <c r="AT40" s="2" t="s">
        <v>930</v>
      </c>
      <c r="AU40" s="2"/>
      <c r="AV40" s="2"/>
      <c r="AW40" s="2" t="s">
        <v>1111</v>
      </c>
      <c r="AX40" s="2">
        <v>91387925</v>
      </c>
      <c r="AY40" s="2" t="s">
        <v>932</v>
      </c>
      <c r="AZ40" s="2" t="s">
        <v>1112</v>
      </c>
      <c r="BA40" s="2" t="s">
        <v>1113</v>
      </c>
      <c r="BB40" s="2">
        <v>0</v>
      </c>
      <c r="BC40" s="3" t="str">
        <f>HYPERLINK("https://patentscout.innography.com/share/2o1qdodMcjyvX6oL6pWJnQ%3D%3D","JP2009163745")</f>
        <v>JP2009163745</v>
      </c>
      <c r="BD40" s="2" t="s">
        <v>1114</v>
      </c>
      <c r="BE40" s="2" t="s">
        <v>1115</v>
      </c>
      <c r="BF40" s="2" t="s">
        <v>1116</v>
      </c>
      <c r="BG40" s="2" t="str">
        <f>HYPERLINK("https://patentscout.innography.com/share/2o1qdodMcjyvX6oL6pWJnQ%3D%3D/download", "Download PDF")</f>
        <v>Download PDF</v>
      </c>
      <c r="BH40" s="2" t="s">
        <v>1117</v>
      </c>
      <c r="BI40" s="2"/>
      <c r="BJ40" s="2" t="s">
        <v>1118</v>
      </c>
      <c r="BK40" s="2" t="s">
        <v>925</v>
      </c>
      <c r="BL40" s="2" t="s">
        <v>925</v>
      </c>
      <c r="BM40" s="2"/>
      <c r="BN40" s="2"/>
      <c r="BO40" s="2"/>
      <c r="BP40" s="2"/>
      <c r="BQ40" s="2"/>
      <c r="BR40" s="2"/>
      <c r="BS40" s="2"/>
      <c r="BT40" s="2"/>
      <c r="BU40" s="2"/>
      <c r="BV40" s="2" t="s">
        <v>1119</v>
      </c>
      <c r="BW40" s="2"/>
      <c r="BX40" s="2"/>
      <c r="BY40" s="2"/>
      <c r="BZ40" s="2"/>
      <c r="CA40" s="2"/>
      <c r="CB40" s="2"/>
      <c r="CC40" s="2" t="s">
        <v>1120</v>
      </c>
      <c r="CD40" s="2" t="str">
        <f>HYPERLINK("https://patentscout.innography.com/share/2o1qdodMcjyvX6oL6pWJnQ%3D%3D", "Innography Link")</f>
        <v>Innography Link</v>
      </c>
      <c r="CE40" s="2"/>
      <c r="CF40" s="2"/>
      <c r="CG40" s="2"/>
      <c r="CH40" s="2"/>
      <c r="CI40" s="2"/>
      <c r="CK40" s="2" t="s">
        <v>1121</v>
      </c>
      <c r="CL40" s="2" t="s">
        <v>1122</v>
      </c>
      <c r="CM40" s="2" t="s">
        <v>1123</v>
      </c>
      <c r="CN40" s="2" t="s">
        <v>1124</v>
      </c>
      <c r="CO40" s="2" t="s">
        <v>1125</v>
      </c>
      <c r="CP40" s="2" t="s">
        <v>1126</v>
      </c>
      <c r="CQ40" s="2" t="s">
        <v>1127</v>
      </c>
      <c r="CR40" s="2" t="s">
        <v>1128</v>
      </c>
      <c r="CS40" s="2" t="s">
        <v>1129</v>
      </c>
    </row>
    <row r="41" spans="1:97" ht="152" customHeight="1" x14ac:dyDescent="0.45">
      <c r="A41" s="2">
        <v>0</v>
      </c>
      <c r="B41" s="2">
        <v>25</v>
      </c>
      <c r="C41" s="2" t="s">
        <v>1130</v>
      </c>
      <c r="D41" s="2"/>
      <c r="E41" s="2" t="s">
        <v>1131</v>
      </c>
      <c r="F41" s="2" t="s">
        <v>1132</v>
      </c>
      <c r="G41" s="2" t="s">
        <v>1132</v>
      </c>
      <c r="H41" s="2" t="s">
        <v>1133</v>
      </c>
      <c r="I41" s="2" t="s">
        <v>1134</v>
      </c>
      <c r="J41" s="2" t="s">
        <v>1135</v>
      </c>
      <c r="K41" s="2" t="s">
        <v>1136</v>
      </c>
      <c r="L41" s="2" t="s">
        <v>1136</v>
      </c>
      <c r="M41" s="2" t="s">
        <v>1137</v>
      </c>
      <c r="N41" s="2" t="s">
        <v>1138</v>
      </c>
      <c r="O41" s="2"/>
      <c r="P41" s="2" t="s">
        <v>381</v>
      </c>
      <c r="Q41" s="2" t="s">
        <v>382</v>
      </c>
      <c r="R41" s="2" t="s">
        <v>382</v>
      </c>
      <c r="S41" s="2" t="s">
        <v>381</v>
      </c>
      <c r="T41" s="2">
        <v>87</v>
      </c>
      <c r="U41" s="2">
        <v>26</v>
      </c>
      <c r="V41" s="2" t="s">
        <v>1139</v>
      </c>
      <c r="W41" s="2" t="s">
        <v>1140</v>
      </c>
      <c r="X41" s="2">
        <v>2171</v>
      </c>
      <c r="Y41" s="2" t="s">
        <v>1141</v>
      </c>
      <c r="Z41" s="2" t="s">
        <v>1142</v>
      </c>
      <c r="AA41" s="2" t="s">
        <v>1143</v>
      </c>
      <c r="AB41" s="2">
        <v>9</v>
      </c>
      <c r="AC41" s="2" t="s">
        <v>250</v>
      </c>
      <c r="AD41" s="2" t="s">
        <v>1144</v>
      </c>
      <c r="AE41" s="2">
        <v>268</v>
      </c>
      <c r="AF41" s="2" t="s">
        <v>180</v>
      </c>
      <c r="AG41" s="2"/>
      <c r="AH41" s="2"/>
      <c r="AI41" s="2" t="s">
        <v>1145</v>
      </c>
      <c r="AJ41" s="2"/>
      <c r="AK41" s="2" t="s">
        <v>142</v>
      </c>
      <c r="AL41" s="2" t="s">
        <v>1146</v>
      </c>
      <c r="AM41" s="2" t="s">
        <v>1147</v>
      </c>
      <c r="AN41" s="2" t="s">
        <v>1148</v>
      </c>
      <c r="AO41" s="2" t="s">
        <v>1149</v>
      </c>
      <c r="AP41" s="2">
        <v>273297000</v>
      </c>
      <c r="AQ41" s="2">
        <v>273297000</v>
      </c>
      <c r="AR41" s="2" t="s">
        <v>146</v>
      </c>
      <c r="AS41" s="2">
        <v>43975104</v>
      </c>
      <c r="AT41" s="2" t="s">
        <v>1150</v>
      </c>
      <c r="AU41" s="2"/>
      <c r="AV41" s="2"/>
      <c r="AW41" s="2" t="s">
        <v>1151</v>
      </c>
      <c r="AX41" s="2">
        <v>91387195</v>
      </c>
      <c r="AY41" s="2" t="s">
        <v>1152</v>
      </c>
      <c r="AZ41" s="2" t="s">
        <v>1153</v>
      </c>
      <c r="BA41" s="2" t="s">
        <v>255</v>
      </c>
      <c r="BB41" s="2">
        <v>0</v>
      </c>
      <c r="BC41" s="3" t="str">
        <f>HYPERLINK("https://patentscout.innography.com/share/c_wS0l7kc-QFA9nPBMQKQQ%3D%3D","US9875580")</f>
        <v>US9875580</v>
      </c>
      <c r="BD41" s="2" t="s">
        <v>1154</v>
      </c>
      <c r="BE41" s="2" t="s">
        <v>1155</v>
      </c>
      <c r="BF41" s="2" t="s">
        <v>1156</v>
      </c>
      <c r="BG41" s="2" t="str">
        <f>HYPERLINK("https://patentscout.innography.com/share/c_wS0l7kc-QFA9nPBMQKQQ%3D%3D/download", "Download PDF")</f>
        <v>Download PDF</v>
      </c>
      <c r="BH41" s="2" t="s">
        <v>1157</v>
      </c>
      <c r="BI41" s="2"/>
      <c r="BJ41" s="2" t="s">
        <v>1145</v>
      </c>
      <c r="BK41" s="2" t="s">
        <v>1158</v>
      </c>
      <c r="BL41" s="2" t="s">
        <v>1158</v>
      </c>
      <c r="BM41" s="2" t="s">
        <v>313</v>
      </c>
      <c r="BN41" s="2"/>
      <c r="BO41" s="2" t="s">
        <v>1159</v>
      </c>
      <c r="BP41" s="2"/>
      <c r="BQ41" s="2"/>
      <c r="BR41" s="2" t="s">
        <v>1160</v>
      </c>
      <c r="BS41" s="2"/>
      <c r="BT41" s="2" t="s">
        <v>1161</v>
      </c>
      <c r="BU41" s="2" t="s">
        <v>1162</v>
      </c>
      <c r="BV41" s="2" t="s">
        <v>1163</v>
      </c>
      <c r="BW41" s="2" t="s">
        <v>318</v>
      </c>
      <c r="BX41" s="2"/>
      <c r="BY41" s="2"/>
      <c r="BZ41" s="2"/>
      <c r="CA41" s="2"/>
      <c r="CB41" s="2"/>
      <c r="CC41" s="2" t="s">
        <v>259</v>
      </c>
      <c r="CD41" s="2" t="str">
        <f>HYPERLINK("https://patentscout.innography.com/share/c_wS0l7kc-QFA9nPBMQKQQ%3D%3D", "Innography Link")</f>
        <v>Innography Link</v>
      </c>
      <c r="CE41" s="2"/>
      <c r="CF41" s="2"/>
      <c r="CG41" s="2"/>
      <c r="CH41" s="2"/>
      <c r="CI41" s="2"/>
      <c r="CK41" s="2" t="s">
        <v>1164</v>
      </c>
      <c r="CL41" s="2" t="s">
        <v>1165</v>
      </c>
      <c r="CM41" s="2" t="s">
        <v>1166</v>
      </c>
    </row>
    <row r="42" spans="1:97" ht="152" customHeight="1" x14ac:dyDescent="0.45">
      <c r="A42" s="2">
        <v>0</v>
      </c>
      <c r="B42" s="2">
        <v>5</v>
      </c>
      <c r="C42" s="2" t="s">
        <v>1167</v>
      </c>
      <c r="D42" s="2"/>
      <c r="E42" s="2"/>
      <c r="F42" s="2" t="s">
        <v>1168</v>
      </c>
      <c r="G42" s="2" t="s">
        <v>1168</v>
      </c>
      <c r="H42" s="2" t="s">
        <v>1169</v>
      </c>
      <c r="I42" s="2" t="s">
        <v>1169</v>
      </c>
      <c r="J42" s="2" t="s">
        <v>1170</v>
      </c>
      <c r="K42" s="2" t="s">
        <v>1168</v>
      </c>
      <c r="L42" s="2" t="s">
        <v>1168</v>
      </c>
      <c r="M42" s="2" t="s">
        <v>1171</v>
      </c>
      <c r="N42" s="2" t="s">
        <v>1172</v>
      </c>
      <c r="O42" s="2"/>
      <c r="P42" s="2" t="s">
        <v>1173</v>
      </c>
      <c r="Q42" s="2" t="s">
        <v>1174</v>
      </c>
      <c r="R42" s="2" t="s">
        <v>1175</v>
      </c>
      <c r="S42" s="2" t="s">
        <v>1173</v>
      </c>
      <c r="T42" s="2">
        <v>87</v>
      </c>
      <c r="U42" s="2">
        <v>9</v>
      </c>
      <c r="V42" s="2" t="s">
        <v>1176</v>
      </c>
      <c r="W42" s="2"/>
      <c r="X42" s="2"/>
      <c r="Y42" s="2"/>
      <c r="Z42" s="2" t="s">
        <v>1177</v>
      </c>
      <c r="AA42" s="2" t="s">
        <v>1178</v>
      </c>
      <c r="AB42" s="2">
        <v>16</v>
      </c>
      <c r="AC42" s="2" t="s">
        <v>235</v>
      </c>
      <c r="AD42" s="2" t="s">
        <v>1179</v>
      </c>
      <c r="AE42" s="2">
        <v>260</v>
      </c>
      <c r="AF42" s="2" t="s">
        <v>141</v>
      </c>
      <c r="AG42" s="2"/>
      <c r="AH42" s="2"/>
      <c r="AI42" s="2"/>
      <c r="AJ42" s="2"/>
      <c r="AK42" s="2" t="s">
        <v>217</v>
      </c>
      <c r="AL42" s="2" t="s">
        <v>1180</v>
      </c>
      <c r="AM42" s="2" t="s">
        <v>1180</v>
      </c>
      <c r="AN42" s="2" t="s">
        <v>1181</v>
      </c>
      <c r="AO42" s="2" t="s">
        <v>1182</v>
      </c>
      <c r="AP42" s="2"/>
      <c r="AQ42" s="2"/>
      <c r="AR42" s="2" t="s">
        <v>253</v>
      </c>
      <c r="AS42" s="2">
        <v>83286749</v>
      </c>
      <c r="AT42" s="2" t="s">
        <v>1183</v>
      </c>
      <c r="AU42" s="2"/>
      <c r="AV42" s="2"/>
      <c r="AW42" s="2" t="s">
        <v>821</v>
      </c>
      <c r="AX42" s="2">
        <v>90788773</v>
      </c>
      <c r="AY42" s="2" t="s">
        <v>1184</v>
      </c>
      <c r="AZ42" s="2" t="s">
        <v>1185</v>
      </c>
      <c r="BA42" s="2" t="s">
        <v>1186</v>
      </c>
      <c r="BB42" s="2">
        <v>0</v>
      </c>
      <c r="BC42" s="3" t="str">
        <f>HYPERLINK("https://patentscout.innography.com/share/Ci9wXhHR_S75_Exn4_r3Wg%3D%3D","KR102441662")</f>
        <v>KR102441662</v>
      </c>
      <c r="BD42" s="2" t="s">
        <v>1187</v>
      </c>
      <c r="BE42" s="2" t="s">
        <v>1188</v>
      </c>
      <c r="BF42" s="2" t="s">
        <v>1189</v>
      </c>
      <c r="BG42" s="2" t="str">
        <f>HYPERLINK("https://patentscout.innography.com/share/Ci9wXhHR_S75_Exn4_r3Wg%3D%3D/download", "Download PDF")</f>
        <v>Download PDF</v>
      </c>
      <c r="BH42" s="2" t="s">
        <v>1190</v>
      </c>
      <c r="BI42" s="2"/>
      <c r="BJ42" s="2" t="s">
        <v>1191</v>
      </c>
      <c r="BK42" s="2" t="s">
        <v>1191</v>
      </c>
      <c r="BL42" s="2" t="s">
        <v>1191</v>
      </c>
      <c r="BM42" s="2"/>
      <c r="BN42" s="2"/>
      <c r="BO42" s="2"/>
      <c r="BP42" s="2"/>
      <c r="BQ42" s="2"/>
      <c r="BR42" s="2"/>
      <c r="BS42" s="2"/>
      <c r="BT42" s="2"/>
      <c r="BU42" s="2"/>
      <c r="BV42" s="2"/>
      <c r="BW42" s="2"/>
      <c r="BX42" s="2"/>
      <c r="BY42" s="2"/>
      <c r="BZ42" s="2"/>
      <c r="CA42" s="2"/>
      <c r="CB42" s="2"/>
      <c r="CC42" s="2" t="s">
        <v>243</v>
      </c>
      <c r="CD42" s="2" t="str">
        <f>HYPERLINK("https://patentscout.innography.com/share/Ci9wXhHR_S75_Exn4_r3Wg%3D%3D", "Innography Link")</f>
        <v>Innography Link</v>
      </c>
      <c r="CE42" s="2"/>
      <c r="CF42" s="2"/>
      <c r="CG42" s="2"/>
      <c r="CH42" s="2"/>
      <c r="CI42" s="2"/>
      <c r="CK42" s="2" t="s">
        <v>1192</v>
      </c>
      <c r="CL42" s="2" t="s">
        <v>601</v>
      </c>
      <c r="CM42" s="2" t="s">
        <v>854</v>
      </c>
      <c r="CN42" s="2" t="s">
        <v>602</v>
      </c>
      <c r="CO42" s="2" t="s">
        <v>1193</v>
      </c>
      <c r="CP42" s="2" t="s">
        <v>785</v>
      </c>
      <c r="CQ42" s="2" t="s">
        <v>1194</v>
      </c>
    </row>
    <row r="43" spans="1:97" ht="152" customHeight="1" x14ac:dyDescent="0.45">
      <c r="A43" s="2">
        <v>0</v>
      </c>
      <c r="B43" s="2">
        <v>0</v>
      </c>
      <c r="C43" s="2"/>
      <c r="D43" s="2"/>
      <c r="E43" s="2" t="s">
        <v>352</v>
      </c>
      <c r="F43" s="2"/>
      <c r="G43" s="2" t="s">
        <v>352</v>
      </c>
      <c r="H43" s="2" t="s">
        <v>1195</v>
      </c>
      <c r="I43" s="2" t="s">
        <v>1196</v>
      </c>
      <c r="J43" s="2" t="s">
        <v>1197</v>
      </c>
      <c r="K43" s="2" t="s">
        <v>352</v>
      </c>
      <c r="L43" s="2" t="s">
        <v>352</v>
      </c>
      <c r="M43" s="2" t="s">
        <v>1198</v>
      </c>
      <c r="N43" s="2" t="s">
        <v>1199</v>
      </c>
      <c r="O43" s="2"/>
      <c r="P43" s="2" t="s">
        <v>866</v>
      </c>
      <c r="Q43" s="2"/>
      <c r="R43" s="2"/>
      <c r="S43" s="2" t="s">
        <v>866</v>
      </c>
      <c r="T43" s="2">
        <v>87</v>
      </c>
      <c r="U43" s="2">
        <v>33</v>
      </c>
      <c r="V43" s="2" t="s">
        <v>1200</v>
      </c>
      <c r="W43" s="2"/>
      <c r="X43" s="2"/>
      <c r="Y43" s="2"/>
      <c r="Z43" s="2" t="s">
        <v>1201</v>
      </c>
      <c r="AA43" s="2" t="s">
        <v>1202</v>
      </c>
      <c r="AB43" s="2">
        <v>35</v>
      </c>
      <c r="AC43" s="2" t="s">
        <v>615</v>
      </c>
      <c r="AD43" s="2" t="s">
        <v>866</v>
      </c>
      <c r="AE43" s="2">
        <v>172</v>
      </c>
      <c r="AF43" s="2" t="s">
        <v>141</v>
      </c>
      <c r="AG43" s="2" t="s">
        <v>796</v>
      </c>
      <c r="AH43" s="2"/>
      <c r="AI43" s="2" t="s">
        <v>1203</v>
      </c>
      <c r="AJ43" s="2"/>
      <c r="AK43" s="2" t="s">
        <v>619</v>
      </c>
      <c r="AL43" s="2" t="s">
        <v>1204</v>
      </c>
      <c r="AM43" s="2" t="s">
        <v>1205</v>
      </c>
      <c r="AN43" s="2" t="s">
        <v>1206</v>
      </c>
      <c r="AO43" s="2" t="s">
        <v>1207</v>
      </c>
      <c r="AP43" s="2">
        <v>273297000</v>
      </c>
      <c r="AQ43" s="2">
        <v>273297000</v>
      </c>
      <c r="AR43" s="2" t="s">
        <v>415</v>
      </c>
      <c r="AS43" s="2">
        <v>81754680</v>
      </c>
      <c r="AT43" s="2" t="s">
        <v>1208</v>
      </c>
      <c r="AU43" s="2"/>
      <c r="AV43" s="2"/>
      <c r="AW43" s="2" t="s">
        <v>624</v>
      </c>
      <c r="AX43" s="2">
        <v>88191169</v>
      </c>
      <c r="AY43" s="2" t="s">
        <v>1209</v>
      </c>
      <c r="AZ43" s="2" t="s">
        <v>1210</v>
      </c>
      <c r="BA43" s="2" t="s">
        <v>1211</v>
      </c>
      <c r="BB43" s="2">
        <v>0</v>
      </c>
      <c r="BC43" s="3" t="str">
        <f>HYPERLINK("https://patentscout.innography.com/share/6OceYqB89J5rYovqAVCktA%3D%3D","WO2022114456")</f>
        <v>WO2022114456</v>
      </c>
      <c r="BD43" s="2" t="s">
        <v>1212</v>
      </c>
      <c r="BE43" s="2" t="s">
        <v>1213</v>
      </c>
      <c r="BF43" s="2" t="s">
        <v>1214</v>
      </c>
      <c r="BG43" s="2" t="str">
        <f>HYPERLINK("https://patentscout.innography.com/share/6OceYqB89J5rYovqAVCktA%3D%3D/download", "Download PDF")</f>
        <v>Download PDF</v>
      </c>
      <c r="BH43" s="2" t="s">
        <v>1215</v>
      </c>
      <c r="BI43" s="2"/>
      <c r="BJ43" s="2" t="s">
        <v>1216</v>
      </c>
      <c r="BK43" s="2" t="s">
        <v>1217</v>
      </c>
      <c r="BL43" s="2" t="s">
        <v>1218</v>
      </c>
      <c r="BM43" s="2"/>
      <c r="BN43" s="2"/>
      <c r="BO43" s="2"/>
      <c r="BP43" s="2"/>
      <c r="BQ43" s="2"/>
      <c r="BR43" s="2"/>
      <c r="BS43" s="2"/>
      <c r="BT43" s="2"/>
      <c r="BU43" s="2" t="s">
        <v>1219</v>
      </c>
      <c r="BV43" s="2"/>
      <c r="BW43" s="2"/>
      <c r="BX43" s="2"/>
      <c r="BY43" s="2"/>
      <c r="BZ43" s="2"/>
      <c r="CA43" s="2"/>
      <c r="CB43" s="2"/>
      <c r="CC43" s="2" t="s">
        <v>635</v>
      </c>
      <c r="CD43" s="2" t="str">
        <f>HYPERLINK("https://patentscout.innography.com/share/6OceYqB89J5rYovqAVCktA%3D%3D", "Innography Link")</f>
        <v>Innography Link</v>
      </c>
      <c r="CE43" s="2"/>
      <c r="CF43" s="2"/>
      <c r="CG43" s="2"/>
      <c r="CH43" s="2"/>
      <c r="CI43" s="2"/>
      <c r="CK43" s="2" t="s">
        <v>1220</v>
      </c>
    </row>
    <row r="44" spans="1:97" ht="152" customHeight="1" x14ac:dyDescent="0.45">
      <c r="A44" s="2">
        <v>0</v>
      </c>
      <c r="B44" s="2">
        <v>5</v>
      </c>
      <c r="C44" s="2" t="s">
        <v>1221</v>
      </c>
      <c r="D44" s="2"/>
      <c r="E44" s="2"/>
      <c r="F44" s="2" t="s">
        <v>1222</v>
      </c>
      <c r="G44" s="2" t="s">
        <v>1222</v>
      </c>
      <c r="H44" s="2" t="s">
        <v>1223</v>
      </c>
      <c r="I44" s="2" t="s">
        <v>1223</v>
      </c>
      <c r="J44" s="2" t="s">
        <v>1224</v>
      </c>
      <c r="K44" s="2" t="s">
        <v>1222</v>
      </c>
      <c r="L44" s="2" t="s">
        <v>1222</v>
      </c>
      <c r="M44" s="2" t="s">
        <v>1225</v>
      </c>
      <c r="N44" s="2" t="s">
        <v>1226</v>
      </c>
      <c r="O44" s="2"/>
      <c r="P44" s="2" t="s">
        <v>1227</v>
      </c>
      <c r="Q44" s="2" t="s">
        <v>1228</v>
      </c>
      <c r="R44" s="2" t="s">
        <v>1228</v>
      </c>
      <c r="S44" s="2" t="s">
        <v>1227</v>
      </c>
      <c r="T44" s="2">
        <v>87</v>
      </c>
      <c r="U44" s="2">
        <v>7</v>
      </c>
      <c r="V44" s="2" t="s">
        <v>1229</v>
      </c>
      <c r="W44" s="2"/>
      <c r="X44" s="2"/>
      <c r="Y44" s="2"/>
      <c r="Z44" s="2" t="s">
        <v>1230</v>
      </c>
      <c r="AA44" s="2" t="s">
        <v>1231</v>
      </c>
      <c r="AB44" s="2">
        <v>10</v>
      </c>
      <c r="AC44" s="2" t="s">
        <v>235</v>
      </c>
      <c r="AD44" s="2" t="s">
        <v>1232</v>
      </c>
      <c r="AE44" s="2">
        <v>325</v>
      </c>
      <c r="AF44" s="2" t="s">
        <v>141</v>
      </c>
      <c r="AG44" s="2"/>
      <c r="AH44" s="2"/>
      <c r="AI44" s="2"/>
      <c r="AJ44" s="2"/>
      <c r="AK44" s="2" t="s">
        <v>217</v>
      </c>
      <c r="AL44" s="2" t="s">
        <v>332</v>
      </c>
      <c r="AM44" s="2" t="s">
        <v>332</v>
      </c>
      <c r="AN44" s="2" t="s">
        <v>333</v>
      </c>
      <c r="AO44" s="2" t="s">
        <v>1233</v>
      </c>
      <c r="AP44" s="2">
        <v>340005530</v>
      </c>
      <c r="AQ44" s="2">
        <v>340005530</v>
      </c>
      <c r="AR44" s="2" t="s">
        <v>253</v>
      </c>
      <c r="AS44" s="2">
        <v>81809445</v>
      </c>
      <c r="AT44" s="2" t="s">
        <v>1234</v>
      </c>
      <c r="AU44" s="2"/>
      <c r="AV44" s="2"/>
      <c r="AW44" s="2" t="s">
        <v>336</v>
      </c>
      <c r="AX44" s="2">
        <v>88323737</v>
      </c>
      <c r="AY44" s="2" t="s">
        <v>1235</v>
      </c>
      <c r="AZ44" s="2" t="s">
        <v>1236</v>
      </c>
      <c r="BA44" s="2" t="s">
        <v>1237</v>
      </c>
      <c r="BB44" s="2">
        <v>0</v>
      </c>
      <c r="BC44" s="3" t="str">
        <f>HYPERLINK("https://patentscout.innography.com/share/0m_fckYBXYxq3JEqq_lcBw%3D%3D","KR102402170")</f>
        <v>KR102402170</v>
      </c>
      <c r="BD44" s="2" t="s">
        <v>1238</v>
      </c>
      <c r="BE44" s="2" t="s">
        <v>1239</v>
      </c>
      <c r="BF44" s="2" t="s">
        <v>1240</v>
      </c>
      <c r="BG44" s="2" t="str">
        <f>HYPERLINK("https://patentscout.innography.com/share/0m_fckYBXYxq3JEqq_lcBw%3D%3D/download", "Download PDF")</f>
        <v>Download PDF</v>
      </c>
      <c r="BH44" s="2" t="s">
        <v>1241</v>
      </c>
      <c r="BI44" s="2"/>
      <c r="BJ44" s="2" t="s">
        <v>1242</v>
      </c>
      <c r="BK44" s="2" t="s">
        <v>1242</v>
      </c>
      <c r="BL44" s="2" t="s">
        <v>1242</v>
      </c>
      <c r="BM44" s="2"/>
      <c r="BN44" s="2"/>
      <c r="BO44" s="2"/>
      <c r="BP44" s="2"/>
      <c r="BQ44" s="2"/>
      <c r="BR44" s="2"/>
      <c r="BS44" s="2"/>
      <c r="BT44" s="2"/>
      <c r="BU44" s="2"/>
      <c r="BV44" s="2"/>
      <c r="BW44" s="2"/>
      <c r="BX44" s="2"/>
      <c r="BY44" s="2"/>
      <c r="BZ44" s="2"/>
      <c r="CA44" s="2"/>
      <c r="CB44" s="2"/>
      <c r="CC44" s="2" t="s">
        <v>243</v>
      </c>
      <c r="CD44" s="2" t="str">
        <f>HYPERLINK("https://patentscout.innography.com/share/0m_fckYBXYxq3JEqq_lcBw%3D%3D", "Innography Link")</f>
        <v>Innography Link</v>
      </c>
      <c r="CE44" s="2"/>
      <c r="CF44" s="2"/>
      <c r="CG44" s="2"/>
      <c r="CH44" s="2"/>
      <c r="CI44" s="2"/>
      <c r="CK44" s="2" t="s">
        <v>1243</v>
      </c>
    </row>
    <row r="45" spans="1:97" ht="152" customHeight="1" x14ac:dyDescent="0.45">
      <c r="A45" s="2">
        <v>0</v>
      </c>
      <c r="B45" s="2">
        <v>8</v>
      </c>
      <c r="C45" s="2" t="s">
        <v>1244</v>
      </c>
      <c r="D45" s="2"/>
      <c r="E45" s="2" t="s">
        <v>1245</v>
      </c>
      <c r="F45" s="2" t="s">
        <v>1246</v>
      </c>
      <c r="G45" s="2" t="s">
        <v>1245</v>
      </c>
      <c r="H45" s="2" t="s">
        <v>1195</v>
      </c>
      <c r="I45" s="2" t="s">
        <v>1247</v>
      </c>
      <c r="J45" s="2" t="s">
        <v>1246</v>
      </c>
      <c r="K45" s="2" t="s">
        <v>1245</v>
      </c>
      <c r="L45" s="2" t="s">
        <v>352</v>
      </c>
      <c r="M45" s="2" t="s">
        <v>1248</v>
      </c>
      <c r="N45" s="2" t="s">
        <v>1249</v>
      </c>
      <c r="O45" s="2"/>
      <c r="P45" s="2" t="s">
        <v>866</v>
      </c>
      <c r="Q45" s="2"/>
      <c r="R45" s="2"/>
      <c r="S45" s="2" t="s">
        <v>866</v>
      </c>
      <c r="T45" s="2">
        <v>87</v>
      </c>
      <c r="U45" s="2">
        <v>21</v>
      </c>
      <c r="V45" s="2" t="s">
        <v>1250</v>
      </c>
      <c r="W45" s="2"/>
      <c r="X45" s="2"/>
      <c r="Y45" s="2"/>
      <c r="Z45" s="2" t="s">
        <v>1251</v>
      </c>
      <c r="AA45" s="2" t="s">
        <v>1252</v>
      </c>
      <c r="AB45" s="2">
        <v>35</v>
      </c>
      <c r="AC45" s="2" t="s">
        <v>214</v>
      </c>
      <c r="AD45" s="2" t="s">
        <v>866</v>
      </c>
      <c r="AE45" s="2">
        <v>168</v>
      </c>
      <c r="AF45" s="2" t="s">
        <v>180</v>
      </c>
      <c r="AG45" s="2"/>
      <c r="AH45" s="2"/>
      <c r="AI45" s="2" t="s">
        <v>1253</v>
      </c>
      <c r="AJ45" s="2"/>
      <c r="AK45" s="2" t="s">
        <v>217</v>
      </c>
      <c r="AL45" s="2" t="s">
        <v>1254</v>
      </c>
      <c r="AM45" s="2" t="s">
        <v>1255</v>
      </c>
      <c r="AN45" s="2" t="s">
        <v>1256</v>
      </c>
      <c r="AO45" s="2" t="s">
        <v>1257</v>
      </c>
      <c r="AP45" s="2">
        <v>273297000</v>
      </c>
      <c r="AQ45" s="2">
        <v>273297000</v>
      </c>
      <c r="AR45" s="2" t="s">
        <v>146</v>
      </c>
      <c r="AS45" s="2">
        <v>81982993</v>
      </c>
      <c r="AT45" s="2" t="s">
        <v>1258</v>
      </c>
      <c r="AU45" s="2"/>
      <c r="AV45" s="2"/>
      <c r="AW45" s="2" t="s">
        <v>1259</v>
      </c>
      <c r="AX45" s="2">
        <v>88191169</v>
      </c>
      <c r="AY45" s="2" t="s">
        <v>1209</v>
      </c>
      <c r="AZ45" s="2" t="s">
        <v>1260</v>
      </c>
      <c r="BA45" s="2" t="s">
        <v>1261</v>
      </c>
      <c r="BB45" s="2">
        <v>0</v>
      </c>
      <c r="BC45" s="3" t="str">
        <f>HYPERLINK("https://patentscout.innography.com/share/46q676H1Z0Y7A6gS5r63vA%3D%3D","KR20220074705")</f>
        <v>KR20220074705</v>
      </c>
      <c r="BD45" s="2" t="s">
        <v>1262</v>
      </c>
      <c r="BE45" s="2" t="s">
        <v>1263</v>
      </c>
      <c r="BF45" s="2" t="s">
        <v>1264</v>
      </c>
      <c r="BG45" s="2" t="str">
        <f>HYPERLINK("https://patentscout.innography.com/share/46q676H1Z0Y7A6gS5r63vA%3D%3D/download", "Download PDF")</f>
        <v>Download PDF</v>
      </c>
      <c r="BH45" s="2" t="s">
        <v>1265</v>
      </c>
      <c r="BI45" s="2"/>
      <c r="BJ45" s="2" t="s">
        <v>1218</v>
      </c>
      <c r="BK45" s="2" t="s">
        <v>1218</v>
      </c>
      <c r="BL45" s="2" t="s">
        <v>1218</v>
      </c>
      <c r="BM45" s="2"/>
      <c r="BN45" s="2"/>
      <c r="BO45" s="2"/>
      <c r="BP45" s="2"/>
      <c r="BQ45" s="2"/>
      <c r="BR45" s="2"/>
      <c r="BS45" s="2"/>
      <c r="BT45" s="2"/>
      <c r="BU45" s="2"/>
      <c r="BV45" s="2"/>
      <c r="BW45" s="2"/>
      <c r="BX45" s="2"/>
      <c r="BY45" s="2"/>
      <c r="BZ45" s="2"/>
      <c r="CA45" s="2"/>
      <c r="CB45" s="2"/>
      <c r="CC45" s="2" t="s">
        <v>228</v>
      </c>
      <c r="CD45" s="2" t="str">
        <f>HYPERLINK("https://patentscout.innography.com/share/46q676H1Z0Y7A6gS5r63vA%3D%3D", "Innography Link")</f>
        <v>Innography Link</v>
      </c>
      <c r="CE45" s="2"/>
      <c r="CF45" s="2"/>
      <c r="CG45" s="2"/>
      <c r="CH45" s="2"/>
      <c r="CI45" s="2"/>
      <c r="CK45" s="2" t="s">
        <v>1266</v>
      </c>
    </row>
    <row r="46" spans="1:97" ht="152" customHeight="1" x14ac:dyDescent="0.45">
      <c r="A46" s="2">
        <v>0</v>
      </c>
      <c r="B46" s="2">
        <v>1</v>
      </c>
      <c r="C46" s="2" t="s">
        <v>1267</v>
      </c>
      <c r="D46" s="2"/>
      <c r="E46" s="2"/>
      <c r="F46" s="2" t="s">
        <v>1268</v>
      </c>
      <c r="G46" s="2" t="s">
        <v>1268</v>
      </c>
      <c r="H46" s="2" t="s">
        <v>1269</v>
      </c>
      <c r="I46" s="2" t="s">
        <v>1269</v>
      </c>
      <c r="J46" s="2" t="s">
        <v>1270</v>
      </c>
      <c r="K46" s="2" t="s">
        <v>1268</v>
      </c>
      <c r="L46" s="2" t="s">
        <v>1268</v>
      </c>
      <c r="M46" s="2" t="s">
        <v>1271</v>
      </c>
      <c r="N46" s="2" t="s">
        <v>1272</v>
      </c>
      <c r="O46" s="2"/>
      <c r="P46" s="2" t="s">
        <v>1273</v>
      </c>
      <c r="Q46" s="2" t="s">
        <v>1274</v>
      </c>
      <c r="R46" s="2" t="s">
        <v>1275</v>
      </c>
      <c r="S46" s="2" t="s">
        <v>1273</v>
      </c>
      <c r="T46" s="2">
        <v>87</v>
      </c>
      <c r="U46" s="2">
        <v>5</v>
      </c>
      <c r="V46" s="2" t="s">
        <v>1276</v>
      </c>
      <c r="W46" s="2"/>
      <c r="X46" s="2"/>
      <c r="Y46" s="2"/>
      <c r="Z46" s="2" t="s">
        <v>1277</v>
      </c>
      <c r="AA46" s="2" t="s">
        <v>1278</v>
      </c>
      <c r="AB46" s="2">
        <v>11</v>
      </c>
      <c r="AC46" s="2" t="s">
        <v>235</v>
      </c>
      <c r="AD46" s="2" t="s">
        <v>1279</v>
      </c>
      <c r="AE46" s="2">
        <v>377</v>
      </c>
      <c r="AF46" s="2" t="s">
        <v>141</v>
      </c>
      <c r="AG46" s="2"/>
      <c r="AH46" s="2"/>
      <c r="AI46" s="2"/>
      <c r="AJ46" s="2"/>
      <c r="AK46" s="2" t="s">
        <v>217</v>
      </c>
      <c r="AL46" s="2" t="s">
        <v>298</v>
      </c>
      <c r="AM46" s="2" t="s">
        <v>298</v>
      </c>
      <c r="AN46" s="2" t="s">
        <v>359</v>
      </c>
      <c r="AO46" s="2" t="s">
        <v>1280</v>
      </c>
      <c r="AP46" s="2">
        <v>705348000</v>
      </c>
      <c r="AQ46" s="2">
        <v>705348000</v>
      </c>
      <c r="AR46" s="2" t="s">
        <v>253</v>
      </c>
      <c r="AS46" s="2">
        <v>83110280</v>
      </c>
      <c r="AT46" s="2" t="s">
        <v>1281</v>
      </c>
      <c r="AU46" s="2"/>
      <c r="AV46" s="2"/>
      <c r="AW46" s="2" t="s">
        <v>336</v>
      </c>
      <c r="AX46" s="2">
        <v>90039522</v>
      </c>
      <c r="AY46" s="2" t="s">
        <v>1282</v>
      </c>
      <c r="AZ46" s="2" t="s">
        <v>1283</v>
      </c>
      <c r="BA46" s="2" t="s">
        <v>1284</v>
      </c>
      <c r="BB46" s="2">
        <v>0</v>
      </c>
      <c r="BC46" s="3" t="str">
        <f>HYPERLINK("https://patentscout.innography.com/share/M7hm8-uyZ5JvHETTpNwRIQ%3D%3D","KR102432524")</f>
        <v>KR102432524</v>
      </c>
      <c r="BD46" s="2" t="s">
        <v>1285</v>
      </c>
      <c r="BE46" s="2" t="s">
        <v>1286</v>
      </c>
      <c r="BF46" s="2" t="s">
        <v>1287</v>
      </c>
      <c r="BG46" s="2" t="str">
        <f>HYPERLINK("https://patentscout.innography.com/share/M7hm8-uyZ5JvHETTpNwRIQ%3D%3D/download", "Download PDF")</f>
        <v>Download PDF</v>
      </c>
      <c r="BH46" s="2" t="s">
        <v>1288</v>
      </c>
      <c r="BI46" s="2"/>
      <c r="BJ46" s="2" t="s">
        <v>1289</v>
      </c>
      <c r="BK46" s="2" t="s">
        <v>1289</v>
      </c>
      <c r="BL46" s="2" t="s">
        <v>1289</v>
      </c>
      <c r="BM46" s="2"/>
      <c r="BN46" s="2"/>
      <c r="BO46" s="2"/>
      <c r="BP46" s="2"/>
      <c r="BQ46" s="2"/>
      <c r="BR46" s="2"/>
      <c r="BS46" s="2"/>
      <c r="BT46" s="2"/>
      <c r="BU46" s="2"/>
      <c r="BV46" s="2"/>
      <c r="BW46" s="2"/>
      <c r="BX46" s="2"/>
      <c r="BY46" s="2"/>
      <c r="BZ46" s="2"/>
      <c r="CA46" s="2"/>
      <c r="CB46" s="2"/>
      <c r="CC46" s="2" t="s">
        <v>243</v>
      </c>
      <c r="CD46" s="2" t="str">
        <f>HYPERLINK("https://patentscout.innography.com/share/M7hm8-uyZ5JvHETTpNwRIQ%3D%3D", "Innography Link")</f>
        <v>Innography Link</v>
      </c>
      <c r="CE46" s="2"/>
      <c r="CF46" s="2"/>
      <c r="CG46" s="2"/>
      <c r="CH46" s="2"/>
      <c r="CI46" s="2"/>
      <c r="CK46" s="2" t="s">
        <v>1290</v>
      </c>
      <c r="CL46" s="2" t="s">
        <v>444</v>
      </c>
      <c r="CM46" s="2" t="s">
        <v>497</v>
      </c>
      <c r="CN46" s="2" t="s">
        <v>1291</v>
      </c>
      <c r="CO46" s="2" t="s">
        <v>854</v>
      </c>
      <c r="CP46" s="2" t="s">
        <v>602</v>
      </c>
      <c r="CQ46" s="2" t="s">
        <v>372</v>
      </c>
    </row>
    <row r="47" spans="1:97" ht="152" customHeight="1" x14ac:dyDescent="0.45">
      <c r="A47" s="2">
        <v>0</v>
      </c>
      <c r="B47" s="2">
        <v>6</v>
      </c>
      <c r="C47" s="2" t="s">
        <v>1292</v>
      </c>
      <c r="D47" s="2"/>
      <c r="E47" s="2"/>
      <c r="F47" s="2" t="s">
        <v>1293</v>
      </c>
      <c r="G47" s="2" t="s">
        <v>1293</v>
      </c>
      <c r="H47" s="2" t="s">
        <v>1222</v>
      </c>
      <c r="I47" s="2" t="s">
        <v>1222</v>
      </c>
      <c r="J47" s="2" t="s">
        <v>1294</v>
      </c>
      <c r="K47" s="2" t="s">
        <v>1293</v>
      </c>
      <c r="L47" s="2" t="s">
        <v>1293</v>
      </c>
      <c r="M47" s="2" t="s">
        <v>1295</v>
      </c>
      <c r="N47" s="2" t="s">
        <v>1296</v>
      </c>
      <c r="O47" s="2"/>
      <c r="P47" s="2" t="s">
        <v>1297</v>
      </c>
      <c r="Q47" s="2" t="s">
        <v>1298</v>
      </c>
      <c r="R47" s="2" t="s">
        <v>1298</v>
      </c>
      <c r="S47" s="2" t="s">
        <v>1297</v>
      </c>
      <c r="T47" s="2">
        <v>87</v>
      </c>
      <c r="U47" s="2">
        <v>6</v>
      </c>
      <c r="V47" s="2" t="s">
        <v>1299</v>
      </c>
      <c r="W47" s="2"/>
      <c r="X47" s="2"/>
      <c r="Y47" s="2"/>
      <c r="Z47" s="2" t="s">
        <v>1300</v>
      </c>
      <c r="AA47" s="2" t="s">
        <v>1301</v>
      </c>
      <c r="AB47" s="2">
        <v>10</v>
      </c>
      <c r="AC47" s="2" t="s">
        <v>235</v>
      </c>
      <c r="AD47" s="2" t="s">
        <v>1302</v>
      </c>
      <c r="AE47" s="2">
        <v>1321</v>
      </c>
      <c r="AF47" s="2" t="s">
        <v>141</v>
      </c>
      <c r="AG47" s="2"/>
      <c r="AH47" s="2"/>
      <c r="AI47" s="2"/>
      <c r="AJ47" s="2"/>
      <c r="AK47" s="2" t="s">
        <v>217</v>
      </c>
      <c r="AL47" s="2" t="s">
        <v>1303</v>
      </c>
      <c r="AM47" s="2" t="s">
        <v>1303</v>
      </c>
      <c r="AN47" s="2" t="s">
        <v>1304</v>
      </c>
      <c r="AO47" s="2" t="s">
        <v>1305</v>
      </c>
      <c r="AP47" s="2">
        <v>705348000</v>
      </c>
      <c r="AQ47" s="2">
        <v>705348000</v>
      </c>
      <c r="AR47" s="2" t="s">
        <v>253</v>
      </c>
      <c r="AS47" s="2">
        <v>83452807</v>
      </c>
      <c r="AT47" s="2" t="s">
        <v>1306</v>
      </c>
      <c r="AU47" s="2"/>
      <c r="AV47" s="2"/>
      <c r="AW47" s="2" t="s">
        <v>336</v>
      </c>
      <c r="AX47" s="2">
        <v>91255566</v>
      </c>
      <c r="AY47" s="2" t="s">
        <v>1307</v>
      </c>
      <c r="AZ47" s="2" t="s">
        <v>1308</v>
      </c>
      <c r="BA47" s="2" t="s">
        <v>1309</v>
      </c>
      <c r="BB47" s="2">
        <v>0</v>
      </c>
      <c r="BC47" s="3" t="str">
        <f>HYPERLINK("https://patentscout.innography.com/share/6RuLBWARVVLq_dMgitFt6w%3D%3D","KR102445745")</f>
        <v>KR102445745</v>
      </c>
      <c r="BD47" s="2" t="s">
        <v>1310</v>
      </c>
      <c r="BE47" s="2"/>
      <c r="BF47" s="2" t="s">
        <v>1311</v>
      </c>
      <c r="BG47" s="2" t="str">
        <f>HYPERLINK("https://patentscout.innography.com/share/6RuLBWARVVLq_dMgitFt6w%3D%3D/download", "Download PDF")</f>
        <v>Download PDF</v>
      </c>
      <c r="BH47" s="2" t="s">
        <v>1312</v>
      </c>
      <c r="BI47" s="2"/>
      <c r="BJ47" s="2" t="s">
        <v>1313</v>
      </c>
      <c r="BK47" s="2" t="s">
        <v>1313</v>
      </c>
      <c r="BL47" s="2" t="s">
        <v>1313</v>
      </c>
      <c r="BM47" s="2"/>
      <c r="BN47" s="2"/>
      <c r="BO47" s="2"/>
      <c r="BP47" s="2"/>
      <c r="BQ47" s="2"/>
      <c r="BR47" s="2"/>
      <c r="BS47" s="2"/>
      <c r="BT47" s="2"/>
      <c r="BU47" s="2"/>
      <c r="BV47" s="2"/>
      <c r="BW47" s="2"/>
      <c r="BX47" s="2"/>
      <c r="BY47" s="2"/>
      <c r="BZ47" s="2"/>
      <c r="CA47" s="2"/>
      <c r="CB47" s="2"/>
      <c r="CC47" s="2" t="s">
        <v>243</v>
      </c>
      <c r="CD47" s="2" t="str">
        <f>HYPERLINK("https://patentscout.innography.com/share/6RuLBWARVVLq_dMgitFt6w%3D%3D", "Innography Link")</f>
        <v>Innography Link</v>
      </c>
      <c r="CE47" s="2"/>
      <c r="CF47" s="2"/>
      <c r="CG47" s="2"/>
      <c r="CH47" s="2"/>
      <c r="CI47" s="2"/>
      <c r="CK47" s="2" t="s">
        <v>1314</v>
      </c>
      <c r="CL47" s="2" t="s">
        <v>780</v>
      </c>
      <c r="CM47" s="2" t="s">
        <v>444</v>
      </c>
      <c r="CN47" s="2" t="s">
        <v>371</v>
      </c>
      <c r="CO47" s="2" t="s">
        <v>497</v>
      </c>
      <c r="CP47" s="2" t="s">
        <v>854</v>
      </c>
      <c r="CQ47" s="2" t="s">
        <v>602</v>
      </c>
      <c r="CR47" s="2" t="s">
        <v>1315</v>
      </c>
    </row>
    <row r="48" spans="1:97" ht="152" customHeight="1" x14ac:dyDescent="0.45">
      <c r="A48" s="2">
        <v>1</v>
      </c>
      <c r="B48" s="2">
        <v>6</v>
      </c>
      <c r="C48" s="2" t="s">
        <v>1316</v>
      </c>
      <c r="D48" s="2" t="s">
        <v>1317</v>
      </c>
      <c r="E48" s="2"/>
      <c r="F48" s="2" t="s">
        <v>1318</v>
      </c>
      <c r="G48" s="2" t="s">
        <v>1318</v>
      </c>
      <c r="H48" s="2" t="s">
        <v>951</v>
      </c>
      <c r="I48" s="2" t="s">
        <v>951</v>
      </c>
      <c r="J48" s="2" t="s">
        <v>1319</v>
      </c>
      <c r="K48" s="2" t="s">
        <v>1318</v>
      </c>
      <c r="L48" s="2" t="s">
        <v>1318</v>
      </c>
      <c r="M48" s="2" t="s">
        <v>1320</v>
      </c>
      <c r="N48" s="2" t="s">
        <v>1321</v>
      </c>
      <c r="O48" s="2" t="s">
        <v>1322</v>
      </c>
      <c r="P48" s="2" t="s">
        <v>1323</v>
      </c>
      <c r="Q48" s="2" t="s">
        <v>1323</v>
      </c>
      <c r="R48" s="2" t="s">
        <v>1324</v>
      </c>
      <c r="S48" s="2" t="s">
        <v>1323</v>
      </c>
      <c r="T48" s="2">
        <v>87</v>
      </c>
      <c r="U48" s="2">
        <v>30</v>
      </c>
      <c r="V48" s="2" t="s">
        <v>1325</v>
      </c>
      <c r="W48" s="2"/>
      <c r="X48" s="2"/>
      <c r="Y48" s="2"/>
      <c r="Z48" s="2" t="s">
        <v>1326</v>
      </c>
      <c r="AA48" s="2" t="s">
        <v>1327</v>
      </c>
      <c r="AB48" s="2">
        <v>10</v>
      </c>
      <c r="AC48" s="2" t="s">
        <v>235</v>
      </c>
      <c r="AD48" s="2" t="s">
        <v>1328</v>
      </c>
      <c r="AE48" s="2">
        <v>107</v>
      </c>
      <c r="AF48" s="2" t="s">
        <v>141</v>
      </c>
      <c r="AG48" s="2"/>
      <c r="AH48" s="2"/>
      <c r="AI48" s="2"/>
      <c r="AJ48" s="2"/>
      <c r="AK48" s="2" t="s">
        <v>217</v>
      </c>
      <c r="AL48" s="2" t="s">
        <v>298</v>
      </c>
      <c r="AM48" s="2" t="s">
        <v>298</v>
      </c>
      <c r="AN48" s="2" t="s">
        <v>359</v>
      </c>
      <c r="AO48" s="2" t="s">
        <v>1329</v>
      </c>
      <c r="AP48" s="2">
        <v>705348000</v>
      </c>
      <c r="AQ48" s="2">
        <v>705348000</v>
      </c>
      <c r="AR48" s="2" t="s">
        <v>415</v>
      </c>
      <c r="AS48" s="2">
        <v>79164043</v>
      </c>
      <c r="AT48" s="2" t="s">
        <v>1330</v>
      </c>
      <c r="AU48" s="2"/>
      <c r="AV48" s="2"/>
      <c r="AW48" s="2" t="s">
        <v>336</v>
      </c>
      <c r="AX48" s="2">
        <v>83962250</v>
      </c>
      <c r="AY48" s="2" t="s">
        <v>1331</v>
      </c>
      <c r="AZ48" s="2" t="s">
        <v>1332</v>
      </c>
      <c r="BA48" s="2" t="s">
        <v>1333</v>
      </c>
      <c r="BB48" s="2">
        <v>0</v>
      </c>
      <c r="BC48" s="3" t="str">
        <f>HYPERLINK("https://patentscout.innography.com/share/8aDOLe3Q199Cte2pFCzqUA%3D%3D","KR102341866")</f>
        <v>KR102341866</v>
      </c>
      <c r="BD48" s="2" t="s">
        <v>1334</v>
      </c>
      <c r="BE48" s="2" t="s">
        <v>1335</v>
      </c>
      <c r="BF48" s="2" t="s">
        <v>1336</v>
      </c>
      <c r="BG48" s="2" t="str">
        <f>HYPERLINK("https://patentscout.innography.com/share/8aDOLe3Q199Cte2pFCzqUA%3D%3D/download", "Download PDF")</f>
        <v>Download PDF</v>
      </c>
      <c r="BH48" s="2" t="s">
        <v>1337</v>
      </c>
      <c r="BI48" s="2"/>
      <c r="BJ48" s="2" t="s">
        <v>1338</v>
      </c>
      <c r="BK48" s="2" t="s">
        <v>1338</v>
      </c>
      <c r="BL48" s="2" t="s">
        <v>1338</v>
      </c>
      <c r="BM48" s="2"/>
      <c r="BN48" s="2"/>
      <c r="BO48" s="2"/>
      <c r="BP48" s="2"/>
      <c r="BQ48" s="2"/>
      <c r="BR48" s="2"/>
      <c r="BS48" s="2"/>
      <c r="BT48" s="2"/>
      <c r="BU48" s="2"/>
      <c r="BV48" s="2"/>
      <c r="BW48" s="2"/>
      <c r="BX48" s="2"/>
      <c r="BY48" s="2"/>
      <c r="BZ48" s="2"/>
      <c r="CA48" s="2"/>
      <c r="CB48" s="2"/>
      <c r="CC48" s="2" t="s">
        <v>243</v>
      </c>
      <c r="CD48" s="2" t="str">
        <f>HYPERLINK("https://patentscout.innography.com/share/8aDOLe3Q199Cte2pFCzqUA%3D%3D", "Innography Link")</f>
        <v>Innography Link</v>
      </c>
      <c r="CE48" s="2"/>
      <c r="CF48" s="2"/>
      <c r="CG48" s="2"/>
      <c r="CH48" s="2"/>
      <c r="CI48" s="2"/>
      <c r="CK48" s="2" t="s">
        <v>1339</v>
      </c>
      <c r="CL48" s="2" t="s">
        <v>601</v>
      </c>
      <c r="CM48" s="2" t="s">
        <v>854</v>
      </c>
      <c r="CN48" s="2" t="s">
        <v>1340</v>
      </c>
    </row>
    <row r="49" spans="1:111" ht="152" customHeight="1" x14ac:dyDescent="0.45">
      <c r="A49" s="2">
        <v>0</v>
      </c>
      <c r="B49" s="2">
        <v>6</v>
      </c>
      <c r="C49" s="2" t="s">
        <v>1341</v>
      </c>
      <c r="D49" s="2"/>
      <c r="E49" s="2"/>
      <c r="F49" s="2" t="s">
        <v>1342</v>
      </c>
      <c r="G49" s="2" t="s">
        <v>1342</v>
      </c>
      <c r="H49" s="2" t="s">
        <v>1026</v>
      </c>
      <c r="I49" s="2" t="s">
        <v>1026</v>
      </c>
      <c r="J49" s="2" t="s">
        <v>1027</v>
      </c>
      <c r="K49" s="2" t="s">
        <v>1342</v>
      </c>
      <c r="L49" s="2" t="s">
        <v>1342</v>
      </c>
      <c r="M49" s="2" t="s">
        <v>1343</v>
      </c>
      <c r="N49" s="2" t="s">
        <v>1344</v>
      </c>
      <c r="O49" s="2"/>
      <c r="P49" s="2" t="s">
        <v>1030</v>
      </c>
      <c r="Q49" s="2"/>
      <c r="R49" s="2"/>
      <c r="S49" s="2" t="s">
        <v>1030</v>
      </c>
      <c r="T49" s="2">
        <v>87</v>
      </c>
      <c r="U49" s="2">
        <v>6</v>
      </c>
      <c r="V49" s="2" t="s">
        <v>1345</v>
      </c>
      <c r="W49" s="2"/>
      <c r="X49" s="2"/>
      <c r="Y49" s="2"/>
      <c r="Z49" s="2" t="s">
        <v>1346</v>
      </c>
      <c r="AA49" s="2" t="s">
        <v>1347</v>
      </c>
      <c r="AB49" s="2">
        <v>10</v>
      </c>
      <c r="AC49" s="2" t="s">
        <v>235</v>
      </c>
      <c r="AD49" s="2" t="s">
        <v>1030</v>
      </c>
      <c r="AE49" s="2">
        <v>383</v>
      </c>
      <c r="AF49" s="2" t="s">
        <v>141</v>
      </c>
      <c r="AG49" s="2"/>
      <c r="AH49" s="2"/>
      <c r="AI49" s="2"/>
      <c r="AJ49" s="2"/>
      <c r="AK49" s="2" t="s">
        <v>217</v>
      </c>
      <c r="AL49" s="2" t="s">
        <v>1348</v>
      </c>
      <c r="AM49" s="2" t="s">
        <v>1348</v>
      </c>
      <c r="AN49" s="2" t="s">
        <v>1349</v>
      </c>
      <c r="AO49" s="2" t="s">
        <v>1350</v>
      </c>
      <c r="AP49" s="2">
        <v>705348000</v>
      </c>
      <c r="AQ49" s="2">
        <v>705348000</v>
      </c>
      <c r="AR49" s="2" t="s">
        <v>253</v>
      </c>
      <c r="AS49" s="2">
        <v>83279656</v>
      </c>
      <c r="AT49" s="2" t="s">
        <v>1351</v>
      </c>
      <c r="AU49" s="2"/>
      <c r="AV49" s="2"/>
      <c r="AW49" s="2" t="s">
        <v>336</v>
      </c>
      <c r="AX49" s="2">
        <v>90788929</v>
      </c>
      <c r="AY49" s="2" t="s">
        <v>1352</v>
      </c>
      <c r="AZ49" s="2" t="s">
        <v>1353</v>
      </c>
      <c r="BA49" s="2" t="s">
        <v>1039</v>
      </c>
      <c r="BB49" s="2">
        <v>0</v>
      </c>
      <c r="BC49" s="3" t="str">
        <f>HYPERLINK("https://patentscout.innography.com/share/kYfvlVvqxq5CpeqWh_M4vA%3D%3D","KR102442347")</f>
        <v>KR102442347</v>
      </c>
      <c r="BD49" s="2" t="s">
        <v>1354</v>
      </c>
      <c r="BE49" s="2" t="s">
        <v>1355</v>
      </c>
      <c r="BF49" s="2" t="s">
        <v>1356</v>
      </c>
      <c r="BG49" s="2" t="str">
        <f>HYPERLINK("https://patentscout.innography.com/share/kYfvlVvqxq5CpeqWh_M4vA%3D%3D/download", "Download PDF")</f>
        <v>Download PDF</v>
      </c>
      <c r="BH49" s="2" t="s">
        <v>1357</v>
      </c>
      <c r="BI49" s="2"/>
      <c r="BJ49" s="2" t="s">
        <v>1358</v>
      </c>
      <c r="BK49" s="2" t="s">
        <v>1358</v>
      </c>
      <c r="BL49" s="2" t="s">
        <v>1358</v>
      </c>
      <c r="BM49" s="2"/>
      <c r="BN49" s="2"/>
      <c r="BO49" s="2"/>
      <c r="BP49" s="2"/>
      <c r="BQ49" s="2"/>
      <c r="BR49" s="2"/>
      <c r="BS49" s="2"/>
      <c r="BT49" s="2"/>
      <c r="BU49" s="2"/>
      <c r="BV49" s="2"/>
      <c r="BW49" s="2"/>
      <c r="BX49" s="2"/>
      <c r="BY49" s="2"/>
      <c r="BZ49" s="2"/>
      <c r="CA49" s="2"/>
      <c r="CB49" s="2"/>
      <c r="CC49" s="2" t="s">
        <v>243</v>
      </c>
      <c r="CD49" s="2" t="str">
        <f>HYPERLINK("https://patentscout.innography.com/share/kYfvlVvqxq5CpeqWh_M4vA%3D%3D", "Innography Link")</f>
        <v>Innography Link</v>
      </c>
      <c r="CE49" s="2" t="s">
        <v>1045</v>
      </c>
      <c r="CF49" s="2" t="s">
        <v>1046</v>
      </c>
      <c r="CG49" s="2" t="s">
        <v>1047</v>
      </c>
      <c r="CH49" s="2" t="s">
        <v>1048</v>
      </c>
      <c r="CI49" s="2"/>
      <c r="CK49" s="2" t="s">
        <v>1359</v>
      </c>
      <c r="CL49" s="2" t="s">
        <v>602</v>
      </c>
      <c r="CM49" s="2" t="s">
        <v>1360</v>
      </c>
    </row>
    <row r="50" spans="1:111" ht="152" customHeight="1" x14ac:dyDescent="0.45">
      <c r="A50" s="2">
        <v>0</v>
      </c>
      <c r="B50" s="2">
        <v>3</v>
      </c>
      <c r="C50" s="2" t="s">
        <v>1361</v>
      </c>
      <c r="D50" s="2"/>
      <c r="E50" s="2"/>
      <c r="F50" s="2" t="s">
        <v>1362</v>
      </c>
      <c r="G50" s="2" t="s">
        <v>1362</v>
      </c>
      <c r="H50" s="2" t="s">
        <v>1363</v>
      </c>
      <c r="I50" s="2" t="s">
        <v>1363</v>
      </c>
      <c r="J50" s="2" t="s">
        <v>1364</v>
      </c>
      <c r="K50" s="2" t="s">
        <v>1362</v>
      </c>
      <c r="L50" s="2" t="s">
        <v>1362</v>
      </c>
      <c r="M50" s="2" t="s">
        <v>1365</v>
      </c>
      <c r="N50" s="2" t="s">
        <v>1366</v>
      </c>
      <c r="O50" s="2" t="s">
        <v>1367</v>
      </c>
      <c r="P50" s="2" t="s">
        <v>1368</v>
      </c>
      <c r="Q50" s="2" t="s">
        <v>1368</v>
      </c>
      <c r="R50" s="2" t="s">
        <v>1368</v>
      </c>
      <c r="S50" s="2" t="s">
        <v>1368</v>
      </c>
      <c r="T50" s="2">
        <v>87</v>
      </c>
      <c r="U50" s="2">
        <v>5</v>
      </c>
      <c r="V50" s="2" t="s">
        <v>1369</v>
      </c>
      <c r="W50" s="2"/>
      <c r="X50" s="2"/>
      <c r="Y50" s="2"/>
      <c r="Z50" s="2" t="s">
        <v>1370</v>
      </c>
      <c r="AA50" s="2" t="s">
        <v>1371</v>
      </c>
      <c r="AB50" s="2">
        <v>8</v>
      </c>
      <c r="AC50" s="2" t="s">
        <v>235</v>
      </c>
      <c r="AD50" s="2" t="s">
        <v>1372</v>
      </c>
      <c r="AE50" s="2">
        <v>146</v>
      </c>
      <c r="AF50" s="2" t="s">
        <v>141</v>
      </c>
      <c r="AG50" s="2"/>
      <c r="AH50" s="2"/>
      <c r="AI50" s="2"/>
      <c r="AJ50" s="2"/>
      <c r="AK50" s="2" t="s">
        <v>217</v>
      </c>
      <c r="AL50" s="2" t="s">
        <v>1373</v>
      </c>
      <c r="AM50" s="2" t="s">
        <v>1373</v>
      </c>
      <c r="AN50" s="2" t="s">
        <v>539</v>
      </c>
      <c r="AO50" s="2" t="s">
        <v>1374</v>
      </c>
      <c r="AP50" s="2">
        <v>705348000</v>
      </c>
      <c r="AQ50" s="2">
        <v>705348000</v>
      </c>
      <c r="AR50" s="2" t="s">
        <v>253</v>
      </c>
      <c r="AS50" s="2">
        <v>83803700</v>
      </c>
      <c r="AT50" s="2" t="s">
        <v>1375</v>
      </c>
      <c r="AU50" s="2"/>
      <c r="AV50" s="2"/>
      <c r="AW50" s="2" t="s">
        <v>336</v>
      </c>
      <c r="AX50" s="2">
        <v>92243483</v>
      </c>
      <c r="AY50" s="2" t="s">
        <v>1376</v>
      </c>
      <c r="AZ50" s="2" t="s">
        <v>1377</v>
      </c>
      <c r="BA50" s="2" t="s">
        <v>1378</v>
      </c>
      <c r="BB50" s="2">
        <v>0</v>
      </c>
      <c r="BC50" s="3" t="str">
        <f>HYPERLINK("https://patentscout.innography.com/share/xHJvMFbZj8nCU1HW-RsGkw%3D%3D","KR102458098")</f>
        <v>KR102458098</v>
      </c>
      <c r="BD50" s="2" t="s">
        <v>1379</v>
      </c>
      <c r="BE50" s="2" t="s">
        <v>1380</v>
      </c>
      <c r="BF50" s="2" t="s">
        <v>1381</v>
      </c>
      <c r="BG50" s="2" t="str">
        <f>HYPERLINK("https://patentscout.innography.com/share/xHJvMFbZj8nCU1HW-RsGkw%3D%3D/download", "Download PDF")</f>
        <v>Download PDF</v>
      </c>
      <c r="BH50" s="2" t="s">
        <v>1382</v>
      </c>
      <c r="BI50" s="2"/>
      <c r="BJ50" s="2" t="s">
        <v>1383</v>
      </c>
      <c r="BK50" s="2" t="s">
        <v>1383</v>
      </c>
      <c r="BL50" s="2" t="s">
        <v>1383</v>
      </c>
      <c r="BM50" s="2"/>
      <c r="BN50" s="2"/>
      <c r="BO50" s="2"/>
      <c r="BP50" s="2"/>
      <c r="BQ50" s="2"/>
      <c r="BR50" s="2"/>
      <c r="BS50" s="2"/>
      <c r="BT50" s="2"/>
      <c r="BU50" s="2"/>
      <c r="BV50" s="2"/>
      <c r="BW50" s="2"/>
      <c r="BX50" s="2"/>
      <c r="BY50" s="2"/>
      <c r="BZ50" s="2"/>
      <c r="CA50" s="2"/>
      <c r="CB50" s="2"/>
      <c r="CC50" s="2" t="s">
        <v>243</v>
      </c>
      <c r="CD50" s="2" t="str">
        <f>HYPERLINK("https://patentscout.innography.com/share/xHJvMFbZj8nCU1HW-RsGkw%3D%3D", "Innography Link")</f>
        <v>Innography Link</v>
      </c>
      <c r="CE50" s="2"/>
      <c r="CF50" s="2"/>
      <c r="CG50" s="2"/>
      <c r="CH50" s="2"/>
      <c r="CI50" s="2"/>
      <c r="CK50" s="2" t="s">
        <v>1384</v>
      </c>
      <c r="CL50" s="2" t="s">
        <v>780</v>
      </c>
      <c r="CM50" s="2" t="s">
        <v>1385</v>
      </c>
      <c r="CN50" s="2" t="s">
        <v>602</v>
      </c>
    </row>
    <row r="51" spans="1:111" ht="152" customHeight="1" x14ac:dyDescent="0.45">
      <c r="A51" s="2">
        <v>82</v>
      </c>
      <c r="B51" s="2">
        <v>25</v>
      </c>
      <c r="C51" s="2" t="s">
        <v>1386</v>
      </c>
      <c r="D51" s="2" t="s">
        <v>1387</v>
      </c>
      <c r="E51" s="2" t="s">
        <v>1388</v>
      </c>
      <c r="F51" s="2" t="s">
        <v>1389</v>
      </c>
      <c r="G51" s="2" t="s">
        <v>1389</v>
      </c>
      <c r="H51" s="2" t="s">
        <v>1390</v>
      </c>
      <c r="I51" s="2" t="s">
        <v>1391</v>
      </c>
      <c r="J51" s="2" t="s">
        <v>1392</v>
      </c>
      <c r="K51" s="2" t="s">
        <v>1388</v>
      </c>
      <c r="L51" s="2" t="s">
        <v>1388</v>
      </c>
      <c r="M51" s="2" t="s">
        <v>1393</v>
      </c>
      <c r="N51" s="2" t="s">
        <v>1394</v>
      </c>
      <c r="O51" s="2"/>
      <c r="P51" s="2" t="s">
        <v>1395</v>
      </c>
      <c r="Q51" s="2" t="s">
        <v>1396</v>
      </c>
      <c r="R51" s="2" t="s">
        <v>1397</v>
      </c>
      <c r="S51" s="2" t="s">
        <v>381</v>
      </c>
      <c r="T51" s="2">
        <v>87</v>
      </c>
      <c r="U51" s="2">
        <v>79</v>
      </c>
      <c r="V51" s="2" t="s">
        <v>1398</v>
      </c>
      <c r="W51" s="2" t="s">
        <v>1399</v>
      </c>
      <c r="X51" s="2">
        <v>2419</v>
      </c>
      <c r="Y51" s="2"/>
      <c r="Z51" s="2" t="s">
        <v>1400</v>
      </c>
      <c r="AA51" s="2" t="s">
        <v>1401</v>
      </c>
      <c r="AB51" s="2">
        <v>18</v>
      </c>
      <c r="AC51" s="2" t="s">
        <v>250</v>
      </c>
      <c r="AD51" s="2" t="s">
        <v>1402</v>
      </c>
      <c r="AE51" s="2">
        <v>332</v>
      </c>
      <c r="AF51" s="2" t="s">
        <v>180</v>
      </c>
      <c r="AG51" s="2"/>
      <c r="AH51" s="2"/>
      <c r="AI51" s="2" t="s">
        <v>1403</v>
      </c>
      <c r="AJ51" s="2"/>
      <c r="AK51" s="2" t="s">
        <v>142</v>
      </c>
      <c r="AL51" s="2" t="s">
        <v>691</v>
      </c>
      <c r="AM51" s="2" t="s">
        <v>1404</v>
      </c>
      <c r="AN51" s="2" t="s">
        <v>218</v>
      </c>
      <c r="AO51" s="2" t="s">
        <v>1405</v>
      </c>
      <c r="AP51" s="2">
        <v>709219000</v>
      </c>
      <c r="AQ51" s="2">
        <v>709219000</v>
      </c>
      <c r="AR51" s="2" t="s">
        <v>1406</v>
      </c>
      <c r="AS51" s="2">
        <v>41054724</v>
      </c>
      <c r="AT51" s="2" t="s">
        <v>1407</v>
      </c>
      <c r="AU51" s="2" t="s">
        <v>1398</v>
      </c>
      <c r="AV51" s="2" t="s">
        <v>1408</v>
      </c>
      <c r="AW51" s="2" t="s">
        <v>1409</v>
      </c>
      <c r="AX51" s="2">
        <v>90000606</v>
      </c>
      <c r="AY51" s="2" t="s">
        <v>1410</v>
      </c>
      <c r="AZ51" s="2" t="s">
        <v>1411</v>
      </c>
      <c r="BA51" s="2" t="s">
        <v>255</v>
      </c>
      <c r="BB51" s="2">
        <v>0</v>
      </c>
      <c r="BC51" s="3" t="str">
        <f>HYPERLINK("https://patentscout.innography.com/share/U9XEw0y9DwsL9w0akxmB3Q%3D%3D","US8230045")</f>
        <v>US8230045</v>
      </c>
      <c r="BD51" s="2" t="s">
        <v>1412</v>
      </c>
      <c r="BE51" s="2" t="s">
        <v>1413</v>
      </c>
      <c r="BF51" s="2" t="s">
        <v>1414</v>
      </c>
      <c r="BG51" s="2" t="str">
        <f>HYPERLINK("https://patentscout.innography.com/share/U9XEw0y9DwsL9w0akxmB3Q%3D%3D/download", "Download PDF")</f>
        <v>Download PDF</v>
      </c>
      <c r="BH51" s="2" t="s">
        <v>1415</v>
      </c>
      <c r="BI51" s="2"/>
      <c r="BJ51" s="2" t="s">
        <v>1403</v>
      </c>
      <c r="BK51" s="2" t="s">
        <v>1416</v>
      </c>
      <c r="BL51" s="2" t="s">
        <v>1416</v>
      </c>
      <c r="BM51" s="2" t="s">
        <v>313</v>
      </c>
      <c r="BN51" s="2"/>
      <c r="BO51" s="2" t="s">
        <v>1417</v>
      </c>
      <c r="BP51" s="2"/>
      <c r="BQ51" s="2"/>
      <c r="BR51" s="2" t="s">
        <v>1418</v>
      </c>
      <c r="BS51" s="2" t="s">
        <v>1419</v>
      </c>
      <c r="BT51" s="2" t="s">
        <v>1420</v>
      </c>
      <c r="BU51" s="2"/>
      <c r="BV51" s="2" t="s">
        <v>1421</v>
      </c>
      <c r="BW51" s="2" t="s">
        <v>318</v>
      </c>
      <c r="BX51" s="2"/>
      <c r="BY51" s="2"/>
      <c r="BZ51" s="2"/>
      <c r="CA51" s="2"/>
      <c r="CB51" s="2"/>
      <c r="CC51" s="2" t="s">
        <v>259</v>
      </c>
      <c r="CD51" s="2" t="str">
        <f>HYPERLINK("https://patentscout.innography.com/share/U9XEw0y9DwsL9w0akxmB3Q%3D%3D", "Innography Link")</f>
        <v>Innography Link</v>
      </c>
      <c r="CE51" s="2"/>
      <c r="CF51" s="2"/>
      <c r="CG51" s="2"/>
      <c r="CH51" s="2"/>
      <c r="CI51" s="2"/>
      <c r="CK51" s="2" t="s">
        <v>1422</v>
      </c>
      <c r="CL51" s="2" t="s">
        <v>1423</v>
      </c>
      <c r="CM51" s="2" t="s">
        <v>1424</v>
      </c>
    </row>
    <row r="52" spans="1:111" ht="152" customHeight="1" x14ac:dyDescent="0.45">
      <c r="A52" s="2">
        <v>2</v>
      </c>
      <c r="B52" s="2">
        <v>4</v>
      </c>
      <c r="C52" s="2" t="s">
        <v>1425</v>
      </c>
      <c r="D52" s="2" t="s">
        <v>1426</v>
      </c>
      <c r="E52" s="2" t="s">
        <v>1427</v>
      </c>
      <c r="F52" s="2" t="s">
        <v>1428</v>
      </c>
      <c r="G52" s="2" t="s">
        <v>1427</v>
      </c>
      <c r="H52" s="2" t="s">
        <v>377</v>
      </c>
      <c r="I52" s="2" t="s">
        <v>1429</v>
      </c>
      <c r="J52" s="2" t="s">
        <v>1428</v>
      </c>
      <c r="K52" s="2" t="s">
        <v>375</v>
      </c>
      <c r="L52" s="2" t="s">
        <v>375</v>
      </c>
      <c r="M52" s="2" t="s">
        <v>1430</v>
      </c>
      <c r="N52" s="2" t="s">
        <v>920</v>
      </c>
      <c r="O52" s="2"/>
      <c r="P52" s="2" t="s">
        <v>381</v>
      </c>
      <c r="Q52" s="2" t="s">
        <v>382</v>
      </c>
      <c r="R52" s="2" t="s">
        <v>382</v>
      </c>
      <c r="S52" s="2" t="s">
        <v>381</v>
      </c>
      <c r="T52" s="2">
        <v>87</v>
      </c>
      <c r="U52" s="2">
        <v>9</v>
      </c>
      <c r="V52" s="2" t="s">
        <v>931</v>
      </c>
      <c r="W52" s="2" t="s">
        <v>385</v>
      </c>
      <c r="X52" s="2">
        <v>2173</v>
      </c>
      <c r="Y52" s="2" t="s">
        <v>386</v>
      </c>
      <c r="Z52" s="2" t="s">
        <v>1431</v>
      </c>
      <c r="AA52" s="2" t="s">
        <v>1432</v>
      </c>
      <c r="AB52" s="2">
        <v>13</v>
      </c>
      <c r="AC52" s="2" t="s">
        <v>139</v>
      </c>
      <c r="AD52" s="2" t="s">
        <v>1433</v>
      </c>
      <c r="AE52" s="2">
        <v>177</v>
      </c>
      <c r="AF52" s="2" t="s">
        <v>180</v>
      </c>
      <c r="AG52" s="2"/>
      <c r="AH52" s="2"/>
      <c r="AI52" s="2" t="s">
        <v>1434</v>
      </c>
      <c r="AJ52" s="2"/>
      <c r="AK52" s="2" t="s">
        <v>142</v>
      </c>
      <c r="AL52" s="2" t="s">
        <v>926</v>
      </c>
      <c r="AM52" s="2" t="s">
        <v>927</v>
      </c>
      <c r="AN52" s="2" t="s">
        <v>1435</v>
      </c>
      <c r="AO52" s="2" t="s">
        <v>1436</v>
      </c>
      <c r="AP52" s="2">
        <v>715740000</v>
      </c>
      <c r="AQ52" s="2">
        <v>715740000</v>
      </c>
      <c r="AR52" s="2" t="s">
        <v>253</v>
      </c>
      <c r="AS52" s="2">
        <v>40845572</v>
      </c>
      <c r="AT52" s="2" t="s">
        <v>930</v>
      </c>
      <c r="AU52" s="2" t="s">
        <v>921</v>
      </c>
      <c r="AV52" s="2" t="s">
        <v>931</v>
      </c>
      <c r="AW52" s="2" t="s">
        <v>148</v>
      </c>
      <c r="AX52" s="2">
        <v>91387925</v>
      </c>
      <c r="AY52" s="2" t="s">
        <v>932</v>
      </c>
      <c r="AZ52" s="2" t="s">
        <v>1437</v>
      </c>
      <c r="BA52" s="2" t="s">
        <v>1438</v>
      </c>
      <c r="BB52" s="2">
        <v>0</v>
      </c>
      <c r="BC52" s="3" t="str">
        <f>HYPERLINK("https://patentscout.innography.com/share/kjEDasm4tbesxptSgvPxJg%3D%3D","US20150128062")</f>
        <v>US20150128062</v>
      </c>
      <c r="BD52" s="2" t="s">
        <v>1439</v>
      </c>
      <c r="BE52" s="2" t="s">
        <v>1440</v>
      </c>
      <c r="BF52" s="2" t="s">
        <v>1441</v>
      </c>
      <c r="BG52" s="2" t="str">
        <f>HYPERLINK("https://patentscout.innography.com/share/kjEDasm4tbesxptSgvPxJg%3D%3D/download", "Download PDF")</f>
        <v>Download PDF</v>
      </c>
      <c r="BH52" s="2" t="s">
        <v>1442</v>
      </c>
      <c r="BI52" s="2"/>
      <c r="BJ52" s="2" t="s">
        <v>1443</v>
      </c>
      <c r="BK52" s="2" t="s">
        <v>925</v>
      </c>
      <c r="BL52" s="2" t="s">
        <v>925</v>
      </c>
      <c r="BM52" s="2"/>
      <c r="BN52" s="2" t="s">
        <v>1444</v>
      </c>
      <c r="BO52" s="2" t="s">
        <v>1445</v>
      </c>
      <c r="BP52" s="2"/>
      <c r="BQ52" s="2" t="s">
        <v>1446</v>
      </c>
      <c r="BR52" s="2" t="s">
        <v>1447</v>
      </c>
      <c r="BS52" s="2" t="s">
        <v>1448</v>
      </c>
      <c r="BT52" s="2" t="s">
        <v>1449</v>
      </c>
      <c r="BU52" s="2" t="s">
        <v>1450</v>
      </c>
      <c r="BV52" s="2" t="s">
        <v>1451</v>
      </c>
      <c r="BW52" s="2" t="s">
        <v>318</v>
      </c>
      <c r="BX52" s="2"/>
      <c r="BY52" s="2"/>
      <c r="BZ52" s="2"/>
      <c r="CA52" s="2"/>
      <c r="CB52" s="2"/>
      <c r="CC52" s="2" t="s">
        <v>158</v>
      </c>
      <c r="CD52" s="2" t="str">
        <f>HYPERLINK("https://patentscout.innography.com/share/kjEDasm4tbesxptSgvPxJg%3D%3D", "Innography Link")</f>
        <v>Innography Link</v>
      </c>
      <c r="CE52" s="2"/>
      <c r="CF52" s="2"/>
      <c r="CG52" s="2"/>
      <c r="CH52" s="2"/>
      <c r="CI52" s="2"/>
      <c r="CK52" s="2" t="s">
        <v>1452</v>
      </c>
      <c r="CL52" s="2" t="s">
        <v>1453</v>
      </c>
      <c r="CM52" s="2" t="s">
        <v>1454</v>
      </c>
    </row>
    <row r="53" spans="1:111" ht="152" customHeight="1" x14ac:dyDescent="0.45">
      <c r="A53" s="2">
        <v>80</v>
      </c>
      <c r="B53" s="2">
        <v>33</v>
      </c>
      <c r="C53" s="2" t="s">
        <v>1455</v>
      </c>
      <c r="D53" s="2" t="s">
        <v>1456</v>
      </c>
      <c r="E53" s="2" t="s">
        <v>1457</v>
      </c>
      <c r="F53" s="2" t="s">
        <v>1458</v>
      </c>
      <c r="G53" s="2" t="s">
        <v>1458</v>
      </c>
      <c r="H53" s="2" t="s">
        <v>1390</v>
      </c>
      <c r="I53" s="2" t="s">
        <v>1459</v>
      </c>
      <c r="J53" s="2" t="s">
        <v>1460</v>
      </c>
      <c r="K53" s="2" t="s">
        <v>1388</v>
      </c>
      <c r="L53" s="2" t="s">
        <v>1388</v>
      </c>
      <c r="M53" s="2" t="s">
        <v>1461</v>
      </c>
      <c r="N53" s="2" t="s">
        <v>1462</v>
      </c>
      <c r="O53" s="2"/>
      <c r="P53" s="2" t="s">
        <v>1395</v>
      </c>
      <c r="Q53" s="2" t="s">
        <v>1396</v>
      </c>
      <c r="R53" s="2" t="s">
        <v>1397</v>
      </c>
      <c r="S53" s="2" t="s">
        <v>1395</v>
      </c>
      <c r="T53" s="2">
        <v>87</v>
      </c>
      <c r="U53" s="2">
        <v>91</v>
      </c>
      <c r="V53" s="2" t="s">
        <v>1408</v>
      </c>
      <c r="W53" s="2" t="s">
        <v>1463</v>
      </c>
      <c r="X53" s="2">
        <v>2443</v>
      </c>
      <c r="Y53" s="2" t="s">
        <v>1464</v>
      </c>
      <c r="Z53" s="2" t="s">
        <v>1465</v>
      </c>
      <c r="AA53" s="2" t="s">
        <v>1466</v>
      </c>
      <c r="AB53" s="2">
        <v>11</v>
      </c>
      <c r="AC53" s="2" t="s">
        <v>250</v>
      </c>
      <c r="AD53" s="2" t="s">
        <v>1402</v>
      </c>
      <c r="AE53" s="2">
        <v>309</v>
      </c>
      <c r="AF53" s="2" t="s">
        <v>141</v>
      </c>
      <c r="AG53" s="2"/>
      <c r="AH53" s="2"/>
      <c r="AI53" s="2" t="s">
        <v>1467</v>
      </c>
      <c r="AJ53" s="2"/>
      <c r="AK53" s="2" t="s">
        <v>142</v>
      </c>
      <c r="AL53" s="2" t="s">
        <v>691</v>
      </c>
      <c r="AM53" s="2" t="s">
        <v>1404</v>
      </c>
      <c r="AN53" s="2" t="s">
        <v>218</v>
      </c>
      <c r="AO53" s="2" t="s">
        <v>1468</v>
      </c>
      <c r="AP53" s="2">
        <v>345506000</v>
      </c>
      <c r="AQ53" s="2">
        <v>345506000</v>
      </c>
      <c r="AR53" s="2" t="s">
        <v>236</v>
      </c>
      <c r="AS53" s="2">
        <v>41054724</v>
      </c>
      <c r="AT53" s="2" t="s">
        <v>1407</v>
      </c>
      <c r="AU53" s="2" t="s">
        <v>1398</v>
      </c>
      <c r="AV53" s="2" t="s">
        <v>1408</v>
      </c>
      <c r="AW53" s="2" t="s">
        <v>1409</v>
      </c>
      <c r="AX53" s="2">
        <v>90000606</v>
      </c>
      <c r="AY53" s="2" t="s">
        <v>1410</v>
      </c>
      <c r="AZ53" s="2" t="s">
        <v>1469</v>
      </c>
      <c r="BA53" s="2" t="s">
        <v>1470</v>
      </c>
      <c r="BB53" s="2">
        <v>0</v>
      </c>
      <c r="BC53" s="3" t="str">
        <f>HYPERLINK("https://patentscout.innography.com/share/tavE3M_mpfNLiJN8OJzyhA%3D%3D","US9808722")</f>
        <v>US9808722</v>
      </c>
      <c r="BD53" s="2" t="s">
        <v>1471</v>
      </c>
      <c r="BE53" s="2" t="s">
        <v>1472</v>
      </c>
      <c r="BF53" s="2" t="s">
        <v>1473</v>
      </c>
      <c r="BG53" s="2" t="str">
        <f>HYPERLINK("https://patentscout.innography.com/share/tavE3M_mpfNLiJN8OJzyhA%3D%3D/download", "Download PDF")</f>
        <v>Download PDF</v>
      </c>
      <c r="BH53" s="2" t="s">
        <v>1474</v>
      </c>
      <c r="BI53" s="2"/>
      <c r="BJ53" s="2" t="s">
        <v>1467</v>
      </c>
      <c r="BK53" s="2" t="s">
        <v>1416</v>
      </c>
      <c r="BL53" s="2" t="s">
        <v>1416</v>
      </c>
      <c r="BM53" s="2" t="s">
        <v>313</v>
      </c>
      <c r="BN53" s="2" t="s">
        <v>1475</v>
      </c>
      <c r="BO53" s="2" t="s">
        <v>1476</v>
      </c>
      <c r="BP53" s="2" t="s">
        <v>1477</v>
      </c>
      <c r="BQ53" s="2" t="s">
        <v>1478</v>
      </c>
      <c r="BR53" s="2" t="s">
        <v>1479</v>
      </c>
      <c r="BS53" s="2" t="s">
        <v>1480</v>
      </c>
      <c r="BT53" s="2" t="s">
        <v>1481</v>
      </c>
      <c r="BU53" s="2" t="s">
        <v>1482</v>
      </c>
      <c r="BV53" s="2"/>
      <c r="BW53" s="2" t="s">
        <v>318</v>
      </c>
      <c r="BX53" s="2"/>
      <c r="BY53" s="2"/>
      <c r="BZ53" s="2"/>
      <c r="CA53" s="2"/>
      <c r="CB53" s="2"/>
      <c r="CC53" s="2" t="s">
        <v>259</v>
      </c>
      <c r="CD53" s="2" t="str">
        <f>HYPERLINK("https://patentscout.innography.com/share/tavE3M_mpfNLiJN8OJzyhA%3D%3D", "Innography Link")</f>
        <v>Innography Link</v>
      </c>
      <c r="CE53" s="2"/>
      <c r="CF53" s="2"/>
      <c r="CG53" s="2"/>
      <c r="CH53" s="2"/>
      <c r="CI53" s="2"/>
      <c r="CK53" s="2" t="s">
        <v>1483</v>
      </c>
      <c r="CL53" s="2" t="s">
        <v>1484</v>
      </c>
      <c r="CM53" s="2" t="s">
        <v>1485</v>
      </c>
    </row>
    <row r="54" spans="1:111" ht="152" customHeight="1" x14ac:dyDescent="0.45">
      <c r="A54" s="2">
        <v>0</v>
      </c>
      <c r="B54" s="2">
        <v>6</v>
      </c>
      <c r="C54" s="2" t="s">
        <v>1486</v>
      </c>
      <c r="D54" s="2"/>
      <c r="E54" s="2" t="s">
        <v>1427</v>
      </c>
      <c r="F54" s="2" t="s">
        <v>1428</v>
      </c>
      <c r="G54" s="2" t="s">
        <v>1428</v>
      </c>
      <c r="H54" s="2" t="s">
        <v>377</v>
      </c>
      <c r="I54" s="2" t="s">
        <v>1429</v>
      </c>
      <c r="J54" s="2" t="s">
        <v>1487</v>
      </c>
      <c r="K54" s="2" t="s">
        <v>375</v>
      </c>
      <c r="L54" s="2" t="s">
        <v>375</v>
      </c>
      <c r="M54" s="2" t="s">
        <v>1430</v>
      </c>
      <c r="N54" s="2" t="s">
        <v>920</v>
      </c>
      <c r="O54" s="2"/>
      <c r="P54" s="2" t="s">
        <v>381</v>
      </c>
      <c r="Q54" s="2" t="s">
        <v>382</v>
      </c>
      <c r="R54" s="2" t="s">
        <v>382</v>
      </c>
      <c r="S54" s="2" t="s">
        <v>381</v>
      </c>
      <c r="T54" s="2">
        <v>87</v>
      </c>
      <c r="U54" s="2">
        <v>28</v>
      </c>
      <c r="V54" s="2" t="s">
        <v>931</v>
      </c>
      <c r="W54" s="2" t="s">
        <v>385</v>
      </c>
      <c r="X54" s="2">
        <v>2173</v>
      </c>
      <c r="Y54" s="2" t="s">
        <v>386</v>
      </c>
      <c r="Z54" s="2" t="s">
        <v>1488</v>
      </c>
      <c r="AA54" s="2" t="s">
        <v>1489</v>
      </c>
      <c r="AB54" s="2">
        <v>13</v>
      </c>
      <c r="AC54" s="2" t="s">
        <v>250</v>
      </c>
      <c r="AD54" s="2" t="s">
        <v>1490</v>
      </c>
      <c r="AE54" s="2">
        <v>297</v>
      </c>
      <c r="AF54" s="2" t="s">
        <v>141</v>
      </c>
      <c r="AG54" s="2"/>
      <c r="AH54" s="2"/>
      <c r="AI54" s="2" t="s">
        <v>1443</v>
      </c>
      <c r="AJ54" s="2"/>
      <c r="AK54" s="2" t="s">
        <v>142</v>
      </c>
      <c r="AL54" s="2" t="s">
        <v>926</v>
      </c>
      <c r="AM54" s="2" t="s">
        <v>927</v>
      </c>
      <c r="AN54" s="2" t="s">
        <v>251</v>
      </c>
      <c r="AO54" s="2" t="s">
        <v>1491</v>
      </c>
      <c r="AP54" s="2">
        <v>715763000</v>
      </c>
      <c r="AQ54" s="2">
        <v>715763000</v>
      </c>
      <c r="AR54" s="2" t="s">
        <v>146</v>
      </c>
      <c r="AS54" s="2">
        <v>40845572</v>
      </c>
      <c r="AT54" s="2" t="s">
        <v>930</v>
      </c>
      <c r="AU54" s="2" t="s">
        <v>921</v>
      </c>
      <c r="AV54" s="2" t="s">
        <v>931</v>
      </c>
      <c r="AW54" s="2" t="s">
        <v>1151</v>
      </c>
      <c r="AX54" s="2">
        <v>91387925</v>
      </c>
      <c r="AY54" s="2" t="s">
        <v>932</v>
      </c>
      <c r="AZ54" s="2" t="s">
        <v>1437</v>
      </c>
      <c r="BA54" s="2" t="s">
        <v>1492</v>
      </c>
      <c r="BB54" s="2">
        <v>0</v>
      </c>
      <c r="BC54" s="3" t="str">
        <f>HYPERLINK("https://patentscout.innography.com/share/0z1Hiwf7Skc8sEI3aIJBxA%3D%3D","US10326667")</f>
        <v>US10326667</v>
      </c>
      <c r="BD54" s="2" t="s">
        <v>1493</v>
      </c>
      <c r="BE54" s="2" t="s">
        <v>1440</v>
      </c>
      <c r="BF54" s="2" t="s">
        <v>1494</v>
      </c>
      <c r="BG54" s="2" t="str">
        <f>HYPERLINK("https://patentscout.innography.com/share/0z1Hiwf7Skc8sEI3aIJBxA%3D%3D/download", "Download PDF")</f>
        <v>Download PDF</v>
      </c>
      <c r="BH54" s="2" t="s">
        <v>1495</v>
      </c>
      <c r="BI54" s="2"/>
      <c r="BJ54" s="2" t="s">
        <v>1443</v>
      </c>
      <c r="BK54" s="2" t="s">
        <v>925</v>
      </c>
      <c r="BL54" s="2" t="s">
        <v>925</v>
      </c>
      <c r="BM54" s="2"/>
      <c r="BN54" s="2" t="s">
        <v>1444</v>
      </c>
      <c r="BO54" s="2" t="s">
        <v>1445</v>
      </c>
      <c r="BP54" s="2"/>
      <c r="BQ54" s="2" t="s">
        <v>1446</v>
      </c>
      <c r="BR54" s="2" t="s">
        <v>1447</v>
      </c>
      <c r="BS54" s="2" t="s">
        <v>1448</v>
      </c>
      <c r="BT54" s="2" t="s">
        <v>1449</v>
      </c>
      <c r="BU54" s="2" t="s">
        <v>1450</v>
      </c>
      <c r="BV54" s="2" t="s">
        <v>1451</v>
      </c>
      <c r="BW54" s="2" t="s">
        <v>318</v>
      </c>
      <c r="BX54" s="2"/>
      <c r="BY54" s="2"/>
      <c r="BZ54" s="2"/>
      <c r="CA54" s="2"/>
      <c r="CB54" s="2"/>
      <c r="CC54" s="2" t="s">
        <v>259</v>
      </c>
      <c r="CD54" s="2" t="str">
        <f>HYPERLINK("https://patentscout.innography.com/share/0z1Hiwf7Skc8sEI3aIJBxA%3D%3D", "Innography Link")</f>
        <v>Innography Link</v>
      </c>
      <c r="CE54" s="2"/>
      <c r="CF54" s="2"/>
      <c r="CG54" s="2"/>
      <c r="CH54" s="2"/>
      <c r="CI54" s="2"/>
      <c r="CK54" s="2" t="s">
        <v>1496</v>
      </c>
      <c r="CL54" s="2" t="s">
        <v>1497</v>
      </c>
      <c r="CM54" s="2" t="s">
        <v>1498</v>
      </c>
    </row>
    <row r="55" spans="1:111" ht="152" customHeight="1" x14ac:dyDescent="0.45">
      <c r="A55" s="2">
        <v>0</v>
      </c>
      <c r="B55" s="2">
        <v>6</v>
      </c>
      <c r="C55" s="2" t="s">
        <v>1499</v>
      </c>
      <c r="D55" s="2"/>
      <c r="E55" s="2"/>
      <c r="F55" s="2" t="s">
        <v>1500</v>
      </c>
      <c r="G55" s="2" t="s">
        <v>1500</v>
      </c>
      <c r="H55" s="2" t="s">
        <v>808</v>
      </c>
      <c r="I55" s="2" t="s">
        <v>808</v>
      </c>
      <c r="J55" s="2" t="s">
        <v>1501</v>
      </c>
      <c r="K55" s="2" t="s">
        <v>1500</v>
      </c>
      <c r="L55" s="2" t="s">
        <v>1500</v>
      </c>
      <c r="M55" s="2" t="s">
        <v>1502</v>
      </c>
      <c r="N55" s="2" t="s">
        <v>1503</v>
      </c>
      <c r="O55" s="2"/>
      <c r="P55" s="2" t="s">
        <v>1504</v>
      </c>
      <c r="Q55" s="2" t="s">
        <v>1504</v>
      </c>
      <c r="R55" s="2" t="s">
        <v>1505</v>
      </c>
      <c r="S55" s="2" t="s">
        <v>1504</v>
      </c>
      <c r="T55" s="2">
        <v>87</v>
      </c>
      <c r="U55" s="2">
        <v>6</v>
      </c>
      <c r="V55" s="2" t="s">
        <v>1506</v>
      </c>
      <c r="W55" s="2"/>
      <c r="X55" s="2"/>
      <c r="Y55" s="2"/>
      <c r="Z55" s="2" t="s">
        <v>1507</v>
      </c>
      <c r="AA55" s="2" t="s">
        <v>1508</v>
      </c>
      <c r="AB55" s="2">
        <v>10</v>
      </c>
      <c r="AC55" s="2" t="s">
        <v>235</v>
      </c>
      <c r="AD55" s="2" t="s">
        <v>1509</v>
      </c>
      <c r="AE55" s="2">
        <v>777</v>
      </c>
      <c r="AF55" s="2" t="s">
        <v>141</v>
      </c>
      <c r="AG55" s="2"/>
      <c r="AH55" s="2"/>
      <c r="AI55" s="2"/>
      <c r="AJ55" s="2"/>
      <c r="AK55" s="2" t="s">
        <v>217</v>
      </c>
      <c r="AL55" s="2" t="s">
        <v>1510</v>
      </c>
      <c r="AM55" s="2" t="s">
        <v>1510</v>
      </c>
      <c r="AN55" s="2" t="s">
        <v>1511</v>
      </c>
      <c r="AO55" s="2" t="s">
        <v>1512</v>
      </c>
      <c r="AP55" s="2">
        <v>705348000</v>
      </c>
      <c r="AQ55" s="2">
        <v>705348000</v>
      </c>
      <c r="AR55" s="2" t="s">
        <v>253</v>
      </c>
      <c r="AS55" s="2">
        <v>84041113</v>
      </c>
      <c r="AT55" s="2" t="s">
        <v>1513</v>
      </c>
      <c r="AU55" s="2"/>
      <c r="AV55" s="2"/>
      <c r="AW55" s="2" t="s">
        <v>336</v>
      </c>
      <c r="AX55" s="2">
        <v>92599009</v>
      </c>
      <c r="AY55" s="2" t="s">
        <v>1514</v>
      </c>
      <c r="AZ55" s="2" t="s">
        <v>1515</v>
      </c>
      <c r="BA55" s="2" t="s">
        <v>1516</v>
      </c>
      <c r="BB55" s="2">
        <v>0</v>
      </c>
      <c r="BC55" s="3" t="str">
        <f>HYPERLINK("https://patentscout.innography.com/share/SKLMIkO2iUp-0kSYDLV32A%3D%3D","KR102462139")</f>
        <v>KR102462139</v>
      </c>
      <c r="BD55" s="2" t="s">
        <v>1517</v>
      </c>
      <c r="BE55" s="2" t="s">
        <v>1518</v>
      </c>
      <c r="BF55" s="2" t="s">
        <v>1519</v>
      </c>
      <c r="BG55" s="2" t="str">
        <f>HYPERLINK("https://patentscout.innography.com/share/SKLMIkO2iUp-0kSYDLV32A%3D%3D/download", "Download PDF")</f>
        <v>Download PDF</v>
      </c>
      <c r="BH55" s="2" t="s">
        <v>1520</v>
      </c>
      <c r="BI55" s="2"/>
      <c r="BJ55" s="2" t="s">
        <v>1521</v>
      </c>
      <c r="BK55" s="2" t="s">
        <v>1521</v>
      </c>
      <c r="BL55" s="2" t="s">
        <v>1521</v>
      </c>
      <c r="BM55" s="2"/>
      <c r="BN55" s="2"/>
      <c r="BO55" s="2"/>
      <c r="BP55" s="2"/>
      <c r="BQ55" s="2"/>
      <c r="BR55" s="2"/>
      <c r="BS55" s="2"/>
      <c r="BT55" s="2"/>
      <c r="BU55" s="2"/>
      <c r="BV55" s="2"/>
      <c r="BW55" s="2"/>
      <c r="BX55" s="2"/>
      <c r="BY55" s="2"/>
      <c r="BZ55" s="2"/>
      <c r="CA55" s="2"/>
      <c r="CB55" s="2"/>
      <c r="CC55" s="2" t="s">
        <v>243</v>
      </c>
      <c r="CD55" s="2" t="str">
        <f>HYPERLINK("https://patentscout.innography.com/share/SKLMIkO2iUp-0kSYDLV32A%3D%3D", "Innography Link")</f>
        <v>Innography Link</v>
      </c>
      <c r="CE55" s="2"/>
      <c r="CF55" s="2"/>
      <c r="CG55" s="2"/>
      <c r="CH55" s="2"/>
      <c r="CI55" s="2"/>
      <c r="CK55" s="2" t="s">
        <v>1522</v>
      </c>
      <c r="CL55" s="2" t="s">
        <v>780</v>
      </c>
      <c r="CM55" s="2" t="s">
        <v>444</v>
      </c>
      <c r="CN55" s="2" t="s">
        <v>371</v>
      </c>
      <c r="CO55" s="2" t="s">
        <v>601</v>
      </c>
      <c r="CP55" s="2" t="s">
        <v>854</v>
      </c>
      <c r="CQ55" s="2" t="s">
        <v>1523</v>
      </c>
    </row>
    <row r="56" spans="1:111" ht="152" customHeight="1" x14ac:dyDescent="0.45">
      <c r="A56" s="2">
        <v>0</v>
      </c>
      <c r="B56" s="2">
        <v>8</v>
      </c>
      <c r="C56" s="2"/>
      <c r="D56" s="2"/>
      <c r="E56" s="2" t="s">
        <v>1245</v>
      </c>
      <c r="F56" s="2" t="s">
        <v>1246</v>
      </c>
      <c r="G56" s="2" t="s">
        <v>1246</v>
      </c>
      <c r="H56" s="2" t="s">
        <v>1195</v>
      </c>
      <c r="I56" s="2" t="s">
        <v>1247</v>
      </c>
      <c r="J56" s="2" t="s">
        <v>1524</v>
      </c>
      <c r="K56" s="2" t="s">
        <v>1245</v>
      </c>
      <c r="L56" s="2" t="s">
        <v>352</v>
      </c>
      <c r="M56" s="2" t="s">
        <v>1525</v>
      </c>
      <c r="N56" s="2" t="s">
        <v>1249</v>
      </c>
      <c r="O56" s="2"/>
      <c r="P56" s="2" t="s">
        <v>866</v>
      </c>
      <c r="Q56" s="2"/>
      <c r="R56" s="2"/>
      <c r="S56" s="2" t="s">
        <v>866</v>
      </c>
      <c r="T56" s="2">
        <v>87</v>
      </c>
      <c r="U56" s="2">
        <v>36</v>
      </c>
      <c r="V56" s="2" t="s">
        <v>1250</v>
      </c>
      <c r="W56" s="2"/>
      <c r="X56" s="2"/>
      <c r="Y56" s="2"/>
      <c r="Z56" s="2" t="s">
        <v>1526</v>
      </c>
      <c r="AA56" s="2" t="s">
        <v>1527</v>
      </c>
      <c r="AB56" s="2">
        <v>35</v>
      </c>
      <c r="AC56" s="2" t="s">
        <v>235</v>
      </c>
      <c r="AD56" s="2" t="s">
        <v>866</v>
      </c>
      <c r="AE56" s="2">
        <v>555</v>
      </c>
      <c r="AF56" s="2" t="s">
        <v>141</v>
      </c>
      <c r="AG56" s="2"/>
      <c r="AH56" s="2"/>
      <c r="AI56" s="2" t="s">
        <v>1218</v>
      </c>
      <c r="AJ56" s="2"/>
      <c r="AK56" s="2" t="s">
        <v>217</v>
      </c>
      <c r="AL56" s="2" t="s">
        <v>1254</v>
      </c>
      <c r="AM56" s="2" t="s">
        <v>1255</v>
      </c>
      <c r="AN56" s="2" t="s">
        <v>1206</v>
      </c>
      <c r="AO56" s="2" t="s">
        <v>1207</v>
      </c>
      <c r="AP56" s="2">
        <v>273297000</v>
      </c>
      <c r="AQ56" s="2">
        <v>273297000</v>
      </c>
      <c r="AR56" s="2" t="s">
        <v>415</v>
      </c>
      <c r="AS56" s="2">
        <v>81982993</v>
      </c>
      <c r="AT56" s="2" t="s">
        <v>1258</v>
      </c>
      <c r="AU56" s="2"/>
      <c r="AV56" s="2"/>
      <c r="AW56" s="2" t="s">
        <v>1528</v>
      </c>
      <c r="AX56" s="2">
        <v>88191169</v>
      </c>
      <c r="AY56" s="2" t="s">
        <v>1209</v>
      </c>
      <c r="AZ56" s="2" t="s">
        <v>1260</v>
      </c>
      <c r="BA56" s="2" t="s">
        <v>1529</v>
      </c>
      <c r="BB56" s="2">
        <v>0</v>
      </c>
      <c r="BC56" s="3" t="str">
        <f>HYPERLINK("https://patentscout.innography.com/share/vPgB1sgUnURg5EEVv6N_Lw%3D%3D","KR102471738")</f>
        <v>KR102471738</v>
      </c>
      <c r="BD56" s="2" t="s">
        <v>1530</v>
      </c>
      <c r="BE56" s="2" t="s">
        <v>1263</v>
      </c>
      <c r="BF56" s="2" t="s">
        <v>1531</v>
      </c>
      <c r="BG56" s="2" t="str">
        <f>HYPERLINK("https://patentscout.innography.com/share/vPgB1sgUnURg5EEVv6N_Lw%3D%3D/download", "Download PDF")</f>
        <v>Download PDF</v>
      </c>
      <c r="BH56" s="2" t="s">
        <v>1532</v>
      </c>
      <c r="BI56" s="2"/>
      <c r="BJ56" s="2" t="s">
        <v>1218</v>
      </c>
      <c r="BK56" s="2" t="s">
        <v>1218</v>
      </c>
      <c r="BL56" s="2" t="s">
        <v>1218</v>
      </c>
      <c r="BM56" s="2"/>
      <c r="BN56" s="2"/>
      <c r="BO56" s="2"/>
      <c r="BP56" s="2"/>
      <c r="BQ56" s="2"/>
      <c r="BR56" s="2"/>
      <c r="BS56" s="2"/>
      <c r="BT56" s="2"/>
      <c r="BU56" s="2"/>
      <c r="BV56" s="2"/>
      <c r="BW56" s="2"/>
      <c r="BX56" s="2"/>
      <c r="BY56" s="2"/>
      <c r="BZ56" s="2"/>
      <c r="CA56" s="2"/>
      <c r="CB56" s="2"/>
      <c r="CC56" s="2" t="s">
        <v>243</v>
      </c>
      <c r="CD56" s="2" t="str">
        <f>HYPERLINK("https://patentscout.innography.com/share/vPgB1sgUnURg5EEVv6N_Lw%3D%3D", "Innography Link")</f>
        <v>Innography Link</v>
      </c>
      <c r="CE56" s="2"/>
      <c r="CF56" s="2"/>
      <c r="CG56" s="2"/>
      <c r="CH56" s="2"/>
      <c r="CI56" s="2"/>
      <c r="CK56" s="2" t="s">
        <v>1533</v>
      </c>
      <c r="CL56" s="2" t="s">
        <v>780</v>
      </c>
      <c r="CM56" s="2" t="s">
        <v>497</v>
      </c>
      <c r="CN56" s="2" t="s">
        <v>1534</v>
      </c>
    </row>
    <row r="57" spans="1:111" ht="152" customHeight="1" x14ac:dyDescent="0.45">
      <c r="A57" s="2">
        <v>2</v>
      </c>
      <c r="B57" s="2">
        <v>4</v>
      </c>
      <c r="C57" s="2" t="s">
        <v>1535</v>
      </c>
      <c r="D57" s="2" t="s">
        <v>1536</v>
      </c>
      <c r="E57" s="2" t="s">
        <v>1537</v>
      </c>
      <c r="F57" s="2" t="s">
        <v>1538</v>
      </c>
      <c r="G57" s="2" t="s">
        <v>1537</v>
      </c>
      <c r="H57" s="2" t="s">
        <v>1390</v>
      </c>
      <c r="I57" s="2" t="s">
        <v>1539</v>
      </c>
      <c r="J57" s="2" t="s">
        <v>1538</v>
      </c>
      <c r="K57" s="2" t="s">
        <v>1388</v>
      </c>
      <c r="L57" s="2" t="s">
        <v>1388</v>
      </c>
      <c r="M57" s="2" t="s">
        <v>1461</v>
      </c>
      <c r="N57" s="2" t="s">
        <v>1462</v>
      </c>
      <c r="O57" s="2"/>
      <c r="P57" s="2" t="s">
        <v>1395</v>
      </c>
      <c r="Q57" s="2" t="s">
        <v>1396</v>
      </c>
      <c r="R57" s="2" t="s">
        <v>1397</v>
      </c>
      <c r="S57" s="2" t="s">
        <v>1395</v>
      </c>
      <c r="T57" s="2">
        <v>87</v>
      </c>
      <c r="U57" s="2">
        <v>23</v>
      </c>
      <c r="V57" s="2" t="s">
        <v>1540</v>
      </c>
      <c r="W57" s="2" t="s">
        <v>1399</v>
      </c>
      <c r="X57" s="2">
        <v>2443</v>
      </c>
      <c r="Y57" s="2" t="s">
        <v>1464</v>
      </c>
      <c r="Z57" s="2" t="s">
        <v>1541</v>
      </c>
      <c r="AA57" s="2" t="s">
        <v>1542</v>
      </c>
      <c r="AB57" s="2">
        <v>20</v>
      </c>
      <c r="AC57" s="2" t="s">
        <v>139</v>
      </c>
      <c r="AD57" s="2" t="s">
        <v>1402</v>
      </c>
      <c r="AE57" s="2">
        <v>164</v>
      </c>
      <c r="AF57" s="2" t="s">
        <v>180</v>
      </c>
      <c r="AG57" s="2"/>
      <c r="AH57" s="2"/>
      <c r="AI57" s="2" t="s">
        <v>1543</v>
      </c>
      <c r="AJ57" s="2"/>
      <c r="AK57" s="2" t="s">
        <v>142</v>
      </c>
      <c r="AL57" s="2" t="s">
        <v>691</v>
      </c>
      <c r="AM57" s="2" t="s">
        <v>1404</v>
      </c>
      <c r="AN57" s="2" t="s">
        <v>1544</v>
      </c>
      <c r="AO57" s="2" t="s">
        <v>1545</v>
      </c>
      <c r="AP57" s="2">
        <v>273297000</v>
      </c>
      <c r="AQ57" s="2">
        <v>273297000</v>
      </c>
      <c r="AR57" s="2" t="s">
        <v>146</v>
      </c>
      <c r="AS57" s="2">
        <v>41054724</v>
      </c>
      <c r="AT57" s="2" t="s">
        <v>1407</v>
      </c>
      <c r="AU57" s="2"/>
      <c r="AV57" s="2"/>
      <c r="AW57" s="2" t="s">
        <v>303</v>
      </c>
      <c r="AX57" s="2">
        <v>90000606</v>
      </c>
      <c r="AY57" s="2" t="s">
        <v>1410</v>
      </c>
      <c r="AZ57" s="2" t="s">
        <v>1546</v>
      </c>
      <c r="BA57" s="2" t="s">
        <v>1547</v>
      </c>
      <c r="BB57" s="2">
        <v>0</v>
      </c>
      <c r="BC57" s="3" t="str">
        <f>HYPERLINK("https://patentscout.innography.com/share/69iapv5gnWlJB5d3qLYnNg%3D%3D","US20180104595")</f>
        <v>US20180104595</v>
      </c>
      <c r="BD57" s="2" t="s">
        <v>1548</v>
      </c>
      <c r="BE57" s="2" t="s">
        <v>1549</v>
      </c>
      <c r="BF57" s="2" t="s">
        <v>1550</v>
      </c>
      <c r="BG57" s="2" t="str">
        <f>HYPERLINK("https://patentscout.innography.com/share/69iapv5gnWlJB5d3qLYnNg%3D%3D/download", "Download PDF")</f>
        <v>Download PDF</v>
      </c>
      <c r="BH57" s="2" t="s">
        <v>1551</v>
      </c>
      <c r="BI57" s="2"/>
      <c r="BJ57" s="2" t="s">
        <v>1552</v>
      </c>
      <c r="BK57" s="2" t="s">
        <v>1416</v>
      </c>
      <c r="BL57" s="2" t="s">
        <v>1416</v>
      </c>
      <c r="BM57" s="2"/>
      <c r="BN57" s="2"/>
      <c r="BO57" s="2" t="s">
        <v>1553</v>
      </c>
      <c r="BP57" s="2"/>
      <c r="BQ57" s="2"/>
      <c r="BR57" s="2" t="s">
        <v>1554</v>
      </c>
      <c r="BS57" s="2" t="s">
        <v>1555</v>
      </c>
      <c r="BT57" s="2" t="s">
        <v>1556</v>
      </c>
      <c r="BU57" s="2" t="s">
        <v>1482</v>
      </c>
      <c r="BV57" s="2"/>
      <c r="BW57" s="2" t="s">
        <v>204</v>
      </c>
      <c r="BX57" s="2"/>
      <c r="BY57" s="2"/>
      <c r="BZ57" s="2"/>
      <c r="CA57" s="2"/>
      <c r="CB57" s="2"/>
      <c r="CC57" s="2" t="s">
        <v>158</v>
      </c>
      <c r="CD57" s="2" t="str">
        <f>HYPERLINK("https://patentscout.innography.com/share/69iapv5gnWlJB5d3qLYnNg%3D%3D", "Innography Link")</f>
        <v>Innography Link</v>
      </c>
      <c r="CE57" s="2"/>
      <c r="CF57" s="2"/>
      <c r="CG57" s="2"/>
      <c r="CH57" s="2"/>
      <c r="CI57" s="2"/>
      <c r="CK57" s="2" t="s">
        <v>1557</v>
      </c>
      <c r="CL57" s="2" t="s">
        <v>1558</v>
      </c>
      <c r="CM57" s="2" t="s">
        <v>1559</v>
      </c>
      <c r="CN57" s="2" t="s">
        <v>1560</v>
      </c>
      <c r="CO57" s="2" t="s">
        <v>1561</v>
      </c>
      <c r="CP57" s="2" t="s">
        <v>1562</v>
      </c>
      <c r="CQ57" s="2" t="s">
        <v>1563</v>
      </c>
      <c r="CR57" s="2" t="s">
        <v>1564</v>
      </c>
      <c r="CS57" s="2" t="s">
        <v>1565</v>
      </c>
      <c r="CT57" s="2" t="s">
        <v>1566</v>
      </c>
      <c r="CU57" s="2" t="s">
        <v>1567</v>
      </c>
      <c r="CV57" s="2" t="s">
        <v>1568</v>
      </c>
      <c r="CW57" s="2" t="s">
        <v>1569</v>
      </c>
      <c r="CX57" s="2" t="s">
        <v>1570</v>
      </c>
      <c r="CY57" s="2" t="s">
        <v>1571</v>
      </c>
      <c r="CZ57" s="2" t="s">
        <v>1572</v>
      </c>
      <c r="DA57" s="2" t="s">
        <v>1573</v>
      </c>
      <c r="DB57" s="2" t="s">
        <v>1574</v>
      </c>
      <c r="DC57" s="2" t="s">
        <v>1575</v>
      </c>
      <c r="DD57" s="2" t="s">
        <v>1576</v>
      </c>
      <c r="DE57" s="2" t="s">
        <v>1577</v>
      </c>
      <c r="DF57" s="2" t="s">
        <v>1578</v>
      </c>
      <c r="DG57" s="2" t="s">
        <v>1579</v>
      </c>
    </row>
    <row r="58" spans="1:111" ht="152" customHeight="1" x14ac:dyDescent="0.45">
      <c r="A58" s="2">
        <v>0</v>
      </c>
      <c r="B58" s="2">
        <v>3</v>
      </c>
      <c r="C58" s="2" t="s">
        <v>1580</v>
      </c>
      <c r="D58" s="2"/>
      <c r="E58" s="2"/>
      <c r="F58" s="2" t="s">
        <v>1581</v>
      </c>
      <c r="G58" s="2" t="s">
        <v>1581</v>
      </c>
      <c r="H58" s="2" t="s">
        <v>951</v>
      </c>
      <c r="I58" s="2" t="s">
        <v>951</v>
      </c>
      <c r="J58" s="2" t="s">
        <v>1319</v>
      </c>
      <c r="K58" s="2" t="s">
        <v>1581</v>
      </c>
      <c r="L58" s="2" t="s">
        <v>1581</v>
      </c>
      <c r="M58" s="2" t="s">
        <v>1582</v>
      </c>
      <c r="N58" s="2" t="s">
        <v>1583</v>
      </c>
      <c r="O58" s="2"/>
      <c r="P58" s="2" t="s">
        <v>1323</v>
      </c>
      <c r="Q58" s="2" t="s">
        <v>1323</v>
      </c>
      <c r="R58" s="2" t="s">
        <v>1324</v>
      </c>
      <c r="S58" s="2" t="s">
        <v>1323</v>
      </c>
      <c r="T58" s="2">
        <v>87</v>
      </c>
      <c r="U58" s="2">
        <v>5</v>
      </c>
      <c r="V58" s="2" t="s">
        <v>1584</v>
      </c>
      <c r="W58" s="2"/>
      <c r="X58" s="2"/>
      <c r="Y58" s="2"/>
      <c r="Z58" s="2" t="s">
        <v>1585</v>
      </c>
      <c r="AA58" s="2" t="s">
        <v>1586</v>
      </c>
      <c r="AB58" s="2">
        <v>10</v>
      </c>
      <c r="AC58" s="2" t="s">
        <v>235</v>
      </c>
      <c r="AD58" s="2" t="s">
        <v>1328</v>
      </c>
      <c r="AE58" s="2">
        <v>319</v>
      </c>
      <c r="AF58" s="2" t="s">
        <v>141</v>
      </c>
      <c r="AG58" s="2"/>
      <c r="AH58" s="2"/>
      <c r="AI58" s="2"/>
      <c r="AJ58" s="2"/>
      <c r="AK58" s="2" t="s">
        <v>217</v>
      </c>
      <c r="AL58" s="2" t="s">
        <v>1587</v>
      </c>
      <c r="AM58" s="2" t="s">
        <v>1587</v>
      </c>
      <c r="AN58" s="2" t="s">
        <v>1588</v>
      </c>
      <c r="AO58" s="2" t="s">
        <v>1589</v>
      </c>
      <c r="AP58" s="2">
        <v>340005530</v>
      </c>
      <c r="AQ58" s="2">
        <v>340005530</v>
      </c>
      <c r="AR58" s="2" t="s">
        <v>253</v>
      </c>
      <c r="AS58" s="2">
        <v>78268326</v>
      </c>
      <c r="AT58" s="2" t="s">
        <v>1590</v>
      </c>
      <c r="AU58" s="2"/>
      <c r="AV58" s="2"/>
      <c r="AW58" s="2" t="s">
        <v>336</v>
      </c>
      <c r="AX58" s="2">
        <v>90462201</v>
      </c>
      <c r="AY58" s="2" t="s">
        <v>1591</v>
      </c>
      <c r="AZ58" s="2" t="s">
        <v>1592</v>
      </c>
      <c r="BA58" s="2" t="s">
        <v>1333</v>
      </c>
      <c r="BB58" s="2">
        <v>0</v>
      </c>
      <c r="BC58" s="3" t="str">
        <f>HYPERLINK("https://patentscout.innography.com/share/wTv4Qq41X9JLHBnrhoKf1w%3D%3D","KR102317223")</f>
        <v>KR102317223</v>
      </c>
      <c r="BD58" s="2" t="s">
        <v>1593</v>
      </c>
      <c r="BE58" s="2" t="s">
        <v>1594</v>
      </c>
      <c r="BF58" s="2" t="s">
        <v>1595</v>
      </c>
      <c r="BG58" s="2" t="str">
        <f>HYPERLINK("https://patentscout.innography.com/share/wTv4Qq41X9JLHBnrhoKf1w%3D%3D/download", "Download PDF")</f>
        <v>Download PDF</v>
      </c>
      <c r="BH58" s="2" t="s">
        <v>1596</v>
      </c>
      <c r="BI58" s="2"/>
      <c r="BJ58" s="2" t="s">
        <v>1597</v>
      </c>
      <c r="BK58" s="2" t="s">
        <v>1597</v>
      </c>
      <c r="BL58" s="2" t="s">
        <v>1597</v>
      </c>
      <c r="BM58" s="2"/>
      <c r="BN58" s="2"/>
      <c r="BO58" s="2"/>
      <c r="BP58" s="2"/>
      <c r="BQ58" s="2"/>
      <c r="BR58" s="2"/>
      <c r="BS58" s="2"/>
      <c r="BT58" s="2"/>
      <c r="BU58" s="2"/>
      <c r="BV58" s="2"/>
      <c r="BW58" s="2"/>
      <c r="BX58" s="2"/>
      <c r="BY58" s="2"/>
      <c r="BZ58" s="2"/>
      <c r="CA58" s="2"/>
      <c r="CB58" s="2"/>
      <c r="CC58" s="2" t="s">
        <v>243</v>
      </c>
      <c r="CD58" s="2" t="str">
        <f>HYPERLINK("https://patentscout.innography.com/share/wTv4Qq41X9JLHBnrhoKf1w%3D%3D", "Innography Link")</f>
        <v>Innography Link</v>
      </c>
      <c r="CE58" s="2"/>
      <c r="CF58" s="2"/>
      <c r="CG58" s="2"/>
      <c r="CH58" s="2"/>
      <c r="CI58" s="2"/>
      <c r="CK58" s="2" t="s">
        <v>1598</v>
      </c>
      <c r="CL58" s="2" t="s">
        <v>444</v>
      </c>
      <c r="CM58" s="2" t="s">
        <v>371</v>
      </c>
      <c r="CN58" s="2" t="s">
        <v>497</v>
      </c>
      <c r="CO58" s="2" t="s">
        <v>601</v>
      </c>
      <c r="CP58" s="2" t="s">
        <v>602</v>
      </c>
      <c r="CQ58" s="2" t="s">
        <v>782</v>
      </c>
    </row>
    <row r="59" spans="1:111" ht="152" customHeight="1" x14ac:dyDescent="0.45">
      <c r="A59" s="2">
        <v>0</v>
      </c>
      <c r="B59" s="2">
        <v>6</v>
      </c>
      <c r="C59" s="2" t="s">
        <v>1599</v>
      </c>
      <c r="D59" s="2"/>
      <c r="E59" s="2"/>
      <c r="F59" s="2" t="s">
        <v>1600</v>
      </c>
      <c r="G59" s="2" t="s">
        <v>1600</v>
      </c>
      <c r="H59" s="2" t="s">
        <v>1601</v>
      </c>
      <c r="I59" s="2" t="s">
        <v>1601</v>
      </c>
      <c r="J59" s="2" t="s">
        <v>1602</v>
      </c>
      <c r="K59" s="2" t="s">
        <v>1600</v>
      </c>
      <c r="L59" s="2" t="s">
        <v>1600</v>
      </c>
      <c r="M59" s="2" t="s">
        <v>1603</v>
      </c>
      <c r="N59" s="2" t="s">
        <v>1604</v>
      </c>
      <c r="O59" s="2"/>
      <c r="P59" s="2" t="s">
        <v>1605</v>
      </c>
      <c r="Q59" s="2" t="s">
        <v>1605</v>
      </c>
      <c r="R59" s="2" t="s">
        <v>1606</v>
      </c>
      <c r="S59" s="2" t="s">
        <v>1605</v>
      </c>
      <c r="T59" s="2">
        <v>87</v>
      </c>
      <c r="U59" s="2">
        <v>7</v>
      </c>
      <c r="V59" s="2" t="s">
        <v>1607</v>
      </c>
      <c r="W59" s="2"/>
      <c r="X59" s="2"/>
      <c r="Y59" s="2"/>
      <c r="Z59" s="2" t="s">
        <v>1608</v>
      </c>
      <c r="AA59" s="2" t="s">
        <v>1609</v>
      </c>
      <c r="AB59" s="2">
        <v>10</v>
      </c>
      <c r="AC59" s="2" t="s">
        <v>235</v>
      </c>
      <c r="AD59" s="2" t="s">
        <v>1610</v>
      </c>
      <c r="AE59" s="2">
        <v>158</v>
      </c>
      <c r="AF59" s="2" t="s">
        <v>141</v>
      </c>
      <c r="AG59" s="2"/>
      <c r="AH59" s="2"/>
      <c r="AI59" s="2"/>
      <c r="AJ59" s="2"/>
      <c r="AK59" s="2" t="s">
        <v>217</v>
      </c>
      <c r="AL59" s="2" t="s">
        <v>1611</v>
      </c>
      <c r="AM59" s="2" t="s">
        <v>1611</v>
      </c>
      <c r="AN59" s="2" t="s">
        <v>1612</v>
      </c>
      <c r="AO59" s="2" t="s">
        <v>1613</v>
      </c>
      <c r="AP59" s="2">
        <v>340005530</v>
      </c>
      <c r="AQ59" s="2">
        <v>340005530</v>
      </c>
      <c r="AR59" s="2" t="s">
        <v>253</v>
      </c>
      <c r="AS59" s="2">
        <v>84236295</v>
      </c>
      <c r="AT59" s="2" t="s">
        <v>1614</v>
      </c>
      <c r="AU59" s="2"/>
      <c r="AV59" s="2"/>
      <c r="AW59" s="2" t="s">
        <v>336</v>
      </c>
      <c r="AX59" s="2">
        <v>92813680</v>
      </c>
      <c r="AY59" s="2" t="s">
        <v>1317</v>
      </c>
      <c r="AZ59" s="2" t="s">
        <v>1615</v>
      </c>
      <c r="BA59" s="2" t="s">
        <v>1616</v>
      </c>
      <c r="BB59" s="2">
        <v>0</v>
      </c>
      <c r="BC59" s="3" t="str">
        <f>HYPERLINK("https://patentscout.innography.com/share/PRRfgD7zpJobXSDbdUaPNA%3D%3D","KR102469274")</f>
        <v>KR102469274</v>
      </c>
      <c r="BD59" s="2" t="s">
        <v>1617</v>
      </c>
      <c r="BE59" s="2" t="s">
        <v>1618</v>
      </c>
      <c r="BF59" s="2" t="s">
        <v>1619</v>
      </c>
      <c r="BG59" s="2" t="str">
        <f>HYPERLINK("https://patentscout.innography.com/share/PRRfgD7zpJobXSDbdUaPNA%3D%3D/download", "Download PDF")</f>
        <v>Download PDF</v>
      </c>
      <c r="BH59" s="2" t="s">
        <v>1620</v>
      </c>
      <c r="BI59" s="2"/>
      <c r="BJ59" s="2" t="s">
        <v>1621</v>
      </c>
      <c r="BK59" s="2" t="s">
        <v>1621</v>
      </c>
      <c r="BL59" s="2" t="s">
        <v>1621</v>
      </c>
      <c r="BM59" s="2"/>
      <c r="BN59" s="2"/>
      <c r="BO59" s="2"/>
      <c r="BP59" s="2"/>
      <c r="BQ59" s="2"/>
      <c r="BR59" s="2"/>
      <c r="BS59" s="2"/>
      <c r="BT59" s="2"/>
      <c r="BU59" s="2"/>
      <c r="BV59" s="2"/>
      <c r="BW59" s="2"/>
      <c r="BX59" s="2"/>
      <c r="BY59" s="2"/>
      <c r="BZ59" s="2"/>
      <c r="CA59" s="2"/>
      <c r="CB59" s="2"/>
      <c r="CC59" s="2" t="s">
        <v>243</v>
      </c>
      <c r="CD59" s="2" t="str">
        <f>HYPERLINK("https://patentscout.innography.com/share/PRRfgD7zpJobXSDbdUaPNA%3D%3D", "Innography Link")</f>
        <v>Innography Link</v>
      </c>
      <c r="CE59" s="2"/>
      <c r="CF59" s="2"/>
      <c r="CG59" s="2"/>
      <c r="CH59" s="2"/>
      <c r="CI59" s="2"/>
      <c r="CK59" s="2" t="s">
        <v>1622</v>
      </c>
      <c r="CL59" s="2" t="s">
        <v>1623</v>
      </c>
    </row>
    <row r="60" spans="1:111" ht="152" customHeight="1" x14ac:dyDescent="0.45">
      <c r="A60" s="2">
        <v>0</v>
      </c>
      <c r="B60" s="2">
        <v>0</v>
      </c>
      <c r="C60" s="2"/>
      <c r="D60" s="2"/>
      <c r="E60" s="2" t="s">
        <v>1624</v>
      </c>
      <c r="F60" s="2"/>
      <c r="G60" s="2" t="s">
        <v>1624</v>
      </c>
      <c r="H60" s="2" t="s">
        <v>1390</v>
      </c>
      <c r="I60" s="2" t="s">
        <v>1625</v>
      </c>
      <c r="J60" s="2" t="s">
        <v>1626</v>
      </c>
      <c r="K60" s="2" t="s">
        <v>1388</v>
      </c>
      <c r="L60" s="2" t="s">
        <v>1388</v>
      </c>
      <c r="M60" s="2" t="s">
        <v>1461</v>
      </c>
      <c r="N60" s="2" t="s">
        <v>1462</v>
      </c>
      <c r="O60" s="2" t="s">
        <v>1627</v>
      </c>
      <c r="P60" s="2" t="s">
        <v>1395</v>
      </c>
      <c r="Q60" s="2" t="s">
        <v>1396</v>
      </c>
      <c r="R60" s="2" t="s">
        <v>1397</v>
      </c>
      <c r="S60" s="2" t="s">
        <v>1395</v>
      </c>
      <c r="T60" s="2">
        <v>87</v>
      </c>
      <c r="U60" s="2">
        <v>15</v>
      </c>
      <c r="V60" s="2" t="s">
        <v>1628</v>
      </c>
      <c r="W60" s="2" t="s">
        <v>533</v>
      </c>
      <c r="X60" s="2"/>
      <c r="Y60" s="2"/>
      <c r="Z60" s="2" t="s">
        <v>1629</v>
      </c>
      <c r="AA60" s="2" t="s">
        <v>1630</v>
      </c>
      <c r="AB60" s="2">
        <v>20</v>
      </c>
      <c r="AC60" s="2" t="s">
        <v>139</v>
      </c>
      <c r="AD60" s="2" t="s">
        <v>1402</v>
      </c>
      <c r="AE60" s="2">
        <v>129</v>
      </c>
      <c r="AF60" s="2" t="s">
        <v>141</v>
      </c>
      <c r="AG60" s="2"/>
      <c r="AH60" s="2"/>
      <c r="AI60" s="2"/>
      <c r="AJ60" s="2"/>
      <c r="AK60" s="2" t="s">
        <v>142</v>
      </c>
      <c r="AL60" s="2" t="s">
        <v>691</v>
      </c>
      <c r="AM60" s="2" t="s">
        <v>1404</v>
      </c>
      <c r="AN60" s="2" t="s">
        <v>1544</v>
      </c>
      <c r="AO60" s="2" t="s">
        <v>1545</v>
      </c>
      <c r="AP60" s="2">
        <v>273297000</v>
      </c>
      <c r="AQ60" s="2">
        <v>273297000</v>
      </c>
      <c r="AR60" s="2" t="s">
        <v>541</v>
      </c>
      <c r="AS60" s="2">
        <v>41054724</v>
      </c>
      <c r="AT60" s="2" t="s">
        <v>1407</v>
      </c>
      <c r="AU60" s="2"/>
      <c r="AV60" s="2"/>
      <c r="AW60" s="2" t="s">
        <v>303</v>
      </c>
      <c r="AX60" s="2">
        <v>90000606</v>
      </c>
      <c r="AY60" s="2" t="s">
        <v>1410</v>
      </c>
      <c r="AZ60" s="2" t="s">
        <v>1631</v>
      </c>
      <c r="BA60" s="2" t="s">
        <v>1632</v>
      </c>
      <c r="BB60" s="2">
        <v>0</v>
      </c>
      <c r="BC60" s="3" t="str">
        <f>HYPERLINK("https://patentscout.innography.com/share/K6-K9LY8xs3XoTwOMyCotw%3D%3D","US20210268389")</f>
        <v>US20210268389</v>
      </c>
      <c r="BD60" s="2" t="s">
        <v>1633</v>
      </c>
      <c r="BE60" s="2" t="s">
        <v>1634</v>
      </c>
      <c r="BF60" s="2" t="s">
        <v>1635</v>
      </c>
      <c r="BG60" s="2" t="str">
        <f>HYPERLINK("https://patentscout.innography.com/share/K6-K9LY8xs3XoTwOMyCotw%3D%3D/download", "Download PDF")</f>
        <v>Download PDF</v>
      </c>
      <c r="BH60" s="2" t="s">
        <v>1636</v>
      </c>
      <c r="BI60" s="2"/>
      <c r="BJ60" s="2" t="s">
        <v>1637</v>
      </c>
      <c r="BK60" s="2" t="s">
        <v>1416</v>
      </c>
      <c r="BL60" s="2" t="s">
        <v>1416</v>
      </c>
      <c r="BM60" s="2"/>
      <c r="BN60" s="2"/>
      <c r="BO60" s="2"/>
      <c r="BP60" s="2"/>
      <c r="BQ60" s="2"/>
      <c r="BR60" s="2"/>
      <c r="BS60" s="2"/>
      <c r="BT60" s="2"/>
      <c r="BU60" s="2"/>
      <c r="BV60" s="2"/>
      <c r="BW60" s="2"/>
      <c r="BX60" s="2"/>
      <c r="BY60" s="2"/>
      <c r="BZ60" s="2"/>
      <c r="CA60" s="2"/>
      <c r="CB60" s="2"/>
      <c r="CC60" s="2" t="s">
        <v>158</v>
      </c>
      <c r="CD60" s="2" t="str">
        <f>HYPERLINK("https://patentscout.innography.com/share/K6-K9LY8xs3XoTwOMyCotw%3D%3D", "Innography Link")</f>
        <v>Innography Link</v>
      </c>
      <c r="CE60" s="2"/>
      <c r="CF60" s="2"/>
      <c r="CG60" s="2"/>
      <c r="CH60" s="2"/>
      <c r="CI60" s="2"/>
      <c r="CK60" s="2" t="s">
        <v>1638</v>
      </c>
      <c r="CL60" s="2" t="s">
        <v>1639</v>
      </c>
      <c r="CM60" s="2" t="s">
        <v>1640</v>
      </c>
    </row>
    <row r="61" spans="1:111" ht="152" customHeight="1" x14ac:dyDescent="0.45">
      <c r="A61" s="2">
        <v>0</v>
      </c>
      <c r="B61" s="2">
        <v>6</v>
      </c>
      <c r="C61" s="2" t="s">
        <v>1641</v>
      </c>
      <c r="D61" s="2"/>
      <c r="E61" s="2"/>
      <c r="F61" s="2" t="s">
        <v>1642</v>
      </c>
      <c r="G61" s="2" t="s">
        <v>1642</v>
      </c>
      <c r="H61" s="2" t="s">
        <v>1643</v>
      </c>
      <c r="I61" s="2" t="s">
        <v>1643</v>
      </c>
      <c r="J61" s="2" t="s">
        <v>1644</v>
      </c>
      <c r="K61" s="2" t="s">
        <v>1642</v>
      </c>
      <c r="L61" s="2" t="s">
        <v>1642</v>
      </c>
      <c r="M61" s="2" t="s">
        <v>1645</v>
      </c>
      <c r="N61" s="2" t="s">
        <v>1646</v>
      </c>
      <c r="O61" s="2"/>
      <c r="P61" s="2" t="s">
        <v>1647</v>
      </c>
      <c r="Q61" s="2" t="s">
        <v>1648</v>
      </c>
      <c r="R61" s="2" t="s">
        <v>1648</v>
      </c>
      <c r="S61" s="2" t="s">
        <v>1647</v>
      </c>
      <c r="T61" s="2">
        <v>87</v>
      </c>
      <c r="U61" s="2">
        <v>8</v>
      </c>
      <c r="V61" s="2" t="s">
        <v>1649</v>
      </c>
      <c r="W61" s="2"/>
      <c r="X61" s="2"/>
      <c r="Y61" s="2"/>
      <c r="Z61" s="2" t="s">
        <v>1650</v>
      </c>
      <c r="AA61" s="2" t="s">
        <v>1651</v>
      </c>
      <c r="AB61" s="2">
        <v>12</v>
      </c>
      <c r="AC61" s="2" t="s">
        <v>235</v>
      </c>
      <c r="AD61" s="2" t="s">
        <v>1652</v>
      </c>
      <c r="AE61" s="2">
        <v>1155</v>
      </c>
      <c r="AF61" s="2" t="s">
        <v>141</v>
      </c>
      <c r="AG61" s="2"/>
      <c r="AH61" s="2"/>
      <c r="AI61" s="2"/>
      <c r="AJ61" s="2"/>
      <c r="AK61" s="2" t="s">
        <v>217</v>
      </c>
      <c r="AL61" s="2" t="s">
        <v>298</v>
      </c>
      <c r="AM61" s="2" t="s">
        <v>298</v>
      </c>
      <c r="AN61" s="2" t="s">
        <v>359</v>
      </c>
      <c r="AO61" s="2" t="s">
        <v>1653</v>
      </c>
      <c r="AP61" s="2">
        <v>705348000</v>
      </c>
      <c r="AQ61" s="2">
        <v>705348000</v>
      </c>
      <c r="AR61" s="2" t="s">
        <v>253</v>
      </c>
      <c r="AS61" s="2">
        <v>83445319</v>
      </c>
      <c r="AT61" s="2" t="s">
        <v>1654</v>
      </c>
      <c r="AU61" s="2"/>
      <c r="AV61" s="2"/>
      <c r="AW61" s="2" t="s">
        <v>336</v>
      </c>
      <c r="AX61" s="2">
        <v>91255282</v>
      </c>
      <c r="AY61" s="2" t="s">
        <v>1655</v>
      </c>
      <c r="AZ61" s="2" t="s">
        <v>1656</v>
      </c>
      <c r="BA61" s="2" t="s">
        <v>1657</v>
      </c>
      <c r="BB61" s="2">
        <v>0</v>
      </c>
      <c r="BC61" s="3" t="str">
        <f>HYPERLINK("https://patentscout.innography.com/share/3am-BZkAseJMMK-in9FSFA%3D%3D","KR102443946")</f>
        <v>KR102443946</v>
      </c>
      <c r="BD61" s="2" t="s">
        <v>1658</v>
      </c>
      <c r="BE61" s="2" t="s">
        <v>1659</v>
      </c>
      <c r="BF61" s="2" t="s">
        <v>1660</v>
      </c>
      <c r="BG61" s="2" t="str">
        <f>HYPERLINK("https://patentscout.innography.com/share/3am-BZkAseJMMK-in9FSFA%3D%3D/download", "Download PDF")</f>
        <v>Download PDF</v>
      </c>
      <c r="BH61" s="2" t="s">
        <v>1661</v>
      </c>
      <c r="BI61" s="2"/>
      <c r="BJ61" s="2" t="s">
        <v>1662</v>
      </c>
      <c r="BK61" s="2" t="s">
        <v>1662</v>
      </c>
      <c r="BL61" s="2" t="s">
        <v>1662</v>
      </c>
      <c r="BM61" s="2"/>
      <c r="BN61" s="2"/>
      <c r="BO61" s="2"/>
      <c r="BP61" s="2"/>
      <c r="BQ61" s="2"/>
      <c r="BR61" s="2"/>
      <c r="BS61" s="2"/>
      <c r="BT61" s="2"/>
      <c r="BU61" s="2"/>
      <c r="BV61" s="2"/>
      <c r="BW61" s="2"/>
      <c r="BX61" s="2"/>
      <c r="BY61" s="2"/>
      <c r="BZ61" s="2"/>
      <c r="CA61" s="2"/>
      <c r="CB61" s="2"/>
      <c r="CC61" s="2" t="s">
        <v>243</v>
      </c>
      <c r="CD61" s="2" t="str">
        <f>HYPERLINK("https://patentscout.innography.com/share/3am-BZkAseJMMK-in9FSFA%3D%3D", "Innography Link")</f>
        <v>Innography Link</v>
      </c>
      <c r="CE61" s="2"/>
      <c r="CF61" s="2"/>
      <c r="CG61" s="2"/>
      <c r="CH61" s="2"/>
      <c r="CI61" s="2"/>
      <c r="CK61" s="2" t="s">
        <v>1663</v>
      </c>
      <c r="CL61" s="2" t="s">
        <v>780</v>
      </c>
      <c r="CM61" s="2" t="s">
        <v>854</v>
      </c>
      <c r="CN61" s="2" t="s">
        <v>602</v>
      </c>
      <c r="CO61" s="2" t="s">
        <v>372</v>
      </c>
      <c r="CP61" s="2" t="s">
        <v>1664</v>
      </c>
    </row>
    <row r="62" spans="1:111" ht="152" customHeight="1" x14ac:dyDescent="0.45">
      <c r="A62" s="2">
        <v>16</v>
      </c>
      <c r="B62" s="2">
        <v>20</v>
      </c>
      <c r="C62" s="2" t="s">
        <v>1665</v>
      </c>
      <c r="D62" s="2" t="s">
        <v>1666</v>
      </c>
      <c r="E62" s="2" t="s">
        <v>1136</v>
      </c>
      <c r="F62" s="2" t="s">
        <v>1667</v>
      </c>
      <c r="G62" s="2" t="s">
        <v>1136</v>
      </c>
      <c r="H62" s="2" t="s">
        <v>1133</v>
      </c>
      <c r="I62" s="2" t="s">
        <v>1133</v>
      </c>
      <c r="J62" s="2" t="s">
        <v>1667</v>
      </c>
      <c r="K62" s="2" t="s">
        <v>1136</v>
      </c>
      <c r="L62" s="2" t="s">
        <v>1136</v>
      </c>
      <c r="M62" s="2" t="s">
        <v>1137</v>
      </c>
      <c r="N62" s="2" t="s">
        <v>1138</v>
      </c>
      <c r="O62" s="2"/>
      <c r="P62" s="2" t="s">
        <v>381</v>
      </c>
      <c r="Q62" s="2" t="s">
        <v>382</v>
      </c>
      <c r="R62" s="2" t="s">
        <v>382</v>
      </c>
      <c r="S62" s="2" t="s">
        <v>381</v>
      </c>
      <c r="T62" s="2">
        <v>87</v>
      </c>
      <c r="U62" s="2">
        <v>74</v>
      </c>
      <c r="V62" s="2" t="s">
        <v>1668</v>
      </c>
      <c r="W62" s="2" t="s">
        <v>1669</v>
      </c>
      <c r="X62" s="2">
        <v>2171</v>
      </c>
      <c r="Y62" s="2" t="s">
        <v>1141</v>
      </c>
      <c r="Z62" s="2" t="s">
        <v>1670</v>
      </c>
      <c r="AA62" s="2" t="s">
        <v>1671</v>
      </c>
      <c r="AB62" s="2">
        <v>25</v>
      </c>
      <c r="AC62" s="2" t="s">
        <v>139</v>
      </c>
      <c r="AD62" s="2" t="s">
        <v>1672</v>
      </c>
      <c r="AE62" s="2">
        <v>61</v>
      </c>
      <c r="AF62" s="2" t="s">
        <v>180</v>
      </c>
      <c r="AG62" s="2"/>
      <c r="AH62" s="2"/>
      <c r="AI62" s="2" t="s">
        <v>1673</v>
      </c>
      <c r="AJ62" s="2"/>
      <c r="AK62" s="2" t="s">
        <v>142</v>
      </c>
      <c r="AL62" s="2" t="s">
        <v>1146</v>
      </c>
      <c r="AM62" s="2" t="s">
        <v>1147</v>
      </c>
      <c r="AN62" s="2" t="s">
        <v>251</v>
      </c>
      <c r="AO62" s="2" t="s">
        <v>1674</v>
      </c>
      <c r="AP62" s="2">
        <v>715848000</v>
      </c>
      <c r="AQ62" s="2" t="s">
        <v>1675</v>
      </c>
      <c r="AR62" s="2" t="s">
        <v>1406</v>
      </c>
      <c r="AS62" s="2">
        <v>43975104</v>
      </c>
      <c r="AT62" s="2" t="s">
        <v>1150</v>
      </c>
      <c r="AU62" s="2"/>
      <c r="AV62" s="2"/>
      <c r="AW62" s="2" t="s">
        <v>148</v>
      </c>
      <c r="AX62" s="2">
        <v>91387195</v>
      </c>
      <c r="AY62" s="2" t="s">
        <v>1152</v>
      </c>
      <c r="AZ62" s="2" t="s">
        <v>1676</v>
      </c>
      <c r="BA62" s="2" t="s">
        <v>1677</v>
      </c>
      <c r="BB62" s="2">
        <v>0</v>
      </c>
      <c r="BC62" s="3" t="str">
        <f>HYPERLINK("https://patentscout.innography.com/share/1hqG5-V-ldu7WVskV6A2VA%3D%3D","US20110113382")</f>
        <v>US20110113382</v>
      </c>
      <c r="BD62" s="2" t="s">
        <v>1678</v>
      </c>
      <c r="BE62" s="2" t="s">
        <v>1679</v>
      </c>
      <c r="BF62" s="2" t="s">
        <v>1680</v>
      </c>
      <c r="BG62" s="2" t="str">
        <f>HYPERLINK("https://patentscout.innography.com/share/1hqG5-V-ldu7WVskV6A2VA%3D%3D/download", "Download PDF")</f>
        <v>Download PDF</v>
      </c>
      <c r="BH62" s="2" t="s">
        <v>1681</v>
      </c>
      <c r="BI62" s="2"/>
      <c r="BJ62" s="2" t="s">
        <v>1158</v>
      </c>
      <c r="BK62" s="2" t="s">
        <v>1158</v>
      </c>
      <c r="BL62" s="2" t="s">
        <v>1158</v>
      </c>
      <c r="BM62" s="2" t="s">
        <v>1682</v>
      </c>
      <c r="BN62" s="2" t="s">
        <v>1683</v>
      </c>
      <c r="BO62" s="2" t="s">
        <v>1684</v>
      </c>
      <c r="BP62" s="2" t="s">
        <v>1685</v>
      </c>
      <c r="BQ62" s="2" t="s">
        <v>1686</v>
      </c>
      <c r="BR62" s="2" t="s">
        <v>1687</v>
      </c>
      <c r="BS62" s="2" t="s">
        <v>169</v>
      </c>
      <c r="BT62" s="2" t="s">
        <v>1688</v>
      </c>
      <c r="BU62" s="2" t="s">
        <v>1162</v>
      </c>
      <c r="BV62" s="2" t="s">
        <v>1689</v>
      </c>
      <c r="BW62" s="2" t="s">
        <v>318</v>
      </c>
      <c r="BX62" s="2"/>
      <c r="BY62" s="2"/>
      <c r="BZ62" s="2"/>
      <c r="CA62" s="2"/>
      <c r="CB62" s="2"/>
      <c r="CC62" s="2" t="s">
        <v>158</v>
      </c>
      <c r="CD62" s="2" t="str">
        <f>HYPERLINK("https://patentscout.innography.com/share/1hqG5-V-ldu7WVskV6A2VA%3D%3D", "Innography Link")</f>
        <v>Innography Link</v>
      </c>
      <c r="CE62" s="2"/>
      <c r="CF62" s="2"/>
      <c r="CG62" s="2"/>
      <c r="CH62" s="2"/>
      <c r="CI62" s="2"/>
      <c r="CK62" s="2" t="s">
        <v>1690</v>
      </c>
      <c r="CL62" s="2" t="s">
        <v>1691</v>
      </c>
      <c r="CM62" s="2" t="s">
        <v>1692</v>
      </c>
      <c r="CN62" s="2" t="s">
        <v>1693</v>
      </c>
    </row>
    <row r="63" spans="1:111" ht="152" customHeight="1" x14ac:dyDescent="0.45">
      <c r="A63" s="2">
        <v>3</v>
      </c>
      <c r="B63" s="2">
        <v>9</v>
      </c>
      <c r="C63" s="2" t="s">
        <v>1694</v>
      </c>
      <c r="D63" s="2" t="s">
        <v>1695</v>
      </c>
      <c r="E63" s="2" t="s">
        <v>1457</v>
      </c>
      <c r="F63" s="2" t="s">
        <v>1458</v>
      </c>
      <c r="G63" s="2" t="s">
        <v>1457</v>
      </c>
      <c r="H63" s="2" t="s">
        <v>1390</v>
      </c>
      <c r="I63" s="2" t="s">
        <v>1459</v>
      </c>
      <c r="J63" s="2" t="s">
        <v>1458</v>
      </c>
      <c r="K63" s="2" t="s">
        <v>1388</v>
      </c>
      <c r="L63" s="2" t="s">
        <v>1388</v>
      </c>
      <c r="M63" s="2" t="s">
        <v>1461</v>
      </c>
      <c r="N63" s="2" t="s">
        <v>1462</v>
      </c>
      <c r="O63" s="2"/>
      <c r="P63" s="2" t="s">
        <v>1395</v>
      </c>
      <c r="Q63" s="2" t="s">
        <v>1396</v>
      </c>
      <c r="R63" s="2" t="s">
        <v>1397</v>
      </c>
      <c r="S63" s="2" t="s">
        <v>381</v>
      </c>
      <c r="T63" s="2">
        <v>87</v>
      </c>
      <c r="U63" s="2">
        <v>20</v>
      </c>
      <c r="V63" s="2" t="s">
        <v>1408</v>
      </c>
      <c r="W63" s="2" t="s">
        <v>1463</v>
      </c>
      <c r="X63" s="2">
        <v>2443</v>
      </c>
      <c r="Y63" s="2" t="s">
        <v>1464</v>
      </c>
      <c r="Z63" s="2" t="s">
        <v>1629</v>
      </c>
      <c r="AA63" s="2" t="s">
        <v>1696</v>
      </c>
      <c r="AB63" s="2">
        <v>20</v>
      </c>
      <c r="AC63" s="2" t="s">
        <v>139</v>
      </c>
      <c r="AD63" s="2" t="s">
        <v>1402</v>
      </c>
      <c r="AE63" s="2">
        <v>129</v>
      </c>
      <c r="AF63" s="2" t="s">
        <v>180</v>
      </c>
      <c r="AG63" s="2"/>
      <c r="AH63" s="2"/>
      <c r="AI63" s="2" t="s">
        <v>1697</v>
      </c>
      <c r="AJ63" s="2"/>
      <c r="AK63" s="2" t="s">
        <v>142</v>
      </c>
      <c r="AL63" s="2" t="s">
        <v>691</v>
      </c>
      <c r="AM63" s="2" t="s">
        <v>1404</v>
      </c>
      <c r="AN63" s="2" t="s">
        <v>1698</v>
      </c>
      <c r="AO63" s="2" t="s">
        <v>1699</v>
      </c>
      <c r="AP63" s="2">
        <v>726026000</v>
      </c>
      <c r="AQ63" s="2">
        <v>726026000</v>
      </c>
      <c r="AR63" s="2" t="s">
        <v>146</v>
      </c>
      <c r="AS63" s="2">
        <v>41054724</v>
      </c>
      <c r="AT63" s="2" t="s">
        <v>1407</v>
      </c>
      <c r="AU63" s="2" t="s">
        <v>1398</v>
      </c>
      <c r="AV63" s="2" t="s">
        <v>1408</v>
      </c>
      <c r="AW63" s="2" t="s">
        <v>303</v>
      </c>
      <c r="AX63" s="2">
        <v>90000606</v>
      </c>
      <c r="AY63" s="2" t="s">
        <v>1410</v>
      </c>
      <c r="AZ63" s="2" t="s">
        <v>1469</v>
      </c>
      <c r="BA63" s="2" t="s">
        <v>1700</v>
      </c>
      <c r="BB63" s="2">
        <v>0</v>
      </c>
      <c r="BC63" s="3" t="str">
        <f>HYPERLINK("https://patentscout.innography.com/share/r5tK9uWIgwtgvAqM8zjhsQ%3D%3D","US20120266256")</f>
        <v>US20120266256</v>
      </c>
      <c r="BD63" s="2" t="s">
        <v>1701</v>
      </c>
      <c r="BE63" s="2" t="s">
        <v>1472</v>
      </c>
      <c r="BF63" s="2" t="s">
        <v>1702</v>
      </c>
      <c r="BG63" s="2" t="str">
        <f>HYPERLINK("https://patentscout.innography.com/share/r5tK9uWIgwtgvAqM8zjhsQ%3D%3D/download", "Download PDF")</f>
        <v>Download PDF</v>
      </c>
      <c r="BH63" s="2" t="s">
        <v>1703</v>
      </c>
      <c r="BI63" s="2"/>
      <c r="BJ63" s="2" t="s">
        <v>1467</v>
      </c>
      <c r="BK63" s="2" t="s">
        <v>1416</v>
      </c>
      <c r="BL63" s="2" t="s">
        <v>1416</v>
      </c>
      <c r="BM63" s="2" t="s">
        <v>313</v>
      </c>
      <c r="BN63" s="2" t="s">
        <v>1475</v>
      </c>
      <c r="BO63" s="2" t="s">
        <v>1476</v>
      </c>
      <c r="BP63" s="2" t="s">
        <v>1477</v>
      </c>
      <c r="BQ63" s="2" t="s">
        <v>1478</v>
      </c>
      <c r="BR63" s="2" t="s">
        <v>1479</v>
      </c>
      <c r="BS63" s="2" t="s">
        <v>1480</v>
      </c>
      <c r="BT63" s="2" t="s">
        <v>1481</v>
      </c>
      <c r="BU63" s="2" t="s">
        <v>1482</v>
      </c>
      <c r="BV63" s="2"/>
      <c r="BW63" s="2" t="s">
        <v>318</v>
      </c>
      <c r="BX63" s="2"/>
      <c r="BY63" s="2"/>
      <c r="BZ63" s="2"/>
      <c r="CA63" s="2"/>
      <c r="CB63" s="2"/>
      <c r="CC63" s="2" t="s">
        <v>158</v>
      </c>
      <c r="CD63" s="2" t="str">
        <f>HYPERLINK("https://patentscout.innography.com/share/r5tK9uWIgwtgvAqM8zjhsQ%3D%3D", "Innography Link")</f>
        <v>Innography Link</v>
      </c>
      <c r="CE63" s="2"/>
      <c r="CF63" s="2"/>
      <c r="CG63" s="2"/>
      <c r="CH63" s="2"/>
      <c r="CI63" s="2"/>
      <c r="CK63" s="2" t="s">
        <v>1638</v>
      </c>
      <c r="CL63" s="2" t="s">
        <v>1639</v>
      </c>
      <c r="CM63" s="2" t="s">
        <v>1640</v>
      </c>
    </row>
    <row r="64" spans="1:111" ht="152" customHeight="1" x14ac:dyDescent="0.45">
      <c r="A64" s="2">
        <v>33</v>
      </c>
      <c r="B64" s="2">
        <v>5</v>
      </c>
      <c r="C64" s="2" t="s">
        <v>1704</v>
      </c>
      <c r="D64" s="2" t="s">
        <v>1705</v>
      </c>
      <c r="E64" s="2" t="s">
        <v>1131</v>
      </c>
      <c r="F64" s="2" t="s">
        <v>1132</v>
      </c>
      <c r="G64" s="2" t="s">
        <v>1131</v>
      </c>
      <c r="H64" s="2" t="s">
        <v>1133</v>
      </c>
      <c r="I64" s="2" t="s">
        <v>1134</v>
      </c>
      <c r="J64" s="2" t="s">
        <v>1132</v>
      </c>
      <c r="K64" s="2" t="s">
        <v>1136</v>
      </c>
      <c r="L64" s="2" t="s">
        <v>1136</v>
      </c>
      <c r="M64" s="2" t="s">
        <v>1137</v>
      </c>
      <c r="N64" s="2" t="s">
        <v>1138</v>
      </c>
      <c r="O64" s="2"/>
      <c r="P64" s="2" t="s">
        <v>381</v>
      </c>
      <c r="Q64" s="2" t="s">
        <v>382</v>
      </c>
      <c r="R64" s="2" t="s">
        <v>382</v>
      </c>
      <c r="S64" s="2" t="s">
        <v>381</v>
      </c>
      <c r="T64" s="2">
        <v>87</v>
      </c>
      <c r="U64" s="2">
        <v>45</v>
      </c>
      <c r="V64" s="2" t="s">
        <v>1139</v>
      </c>
      <c r="W64" s="2" t="s">
        <v>1140</v>
      </c>
      <c r="X64" s="2">
        <v>2171</v>
      </c>
      <c r="Y64" s="2" t="s">
        <v>1141</v>
      </c>
      <c r="Z64" s="2" t="s">
        <v>1706</v>
      </c>
      <c r="AA64" s="2" t="s">
        <v>1707</v>
      </c>
      <c r="AB64" s="2">
        <v>12</v>
      </c>
      <c r="AC64" s="2" t="s">
        <v>139</v>
      </c>
      <c r="AD64" s="2" t="s">
        <v>1144</v>
      </c>
      <c r="AE64" s="2">
        <v>155</v>
      </c>
      <c r="AF64" s="2" t="s">
        <v>180</v>
      </c>
      <c r="AG64" s="2"/>
      <c r="AH64" s="2"/>
      <c r="AI64" s="2" t="s">
        <v>1708</v>
      </c>
      <c r="AJ64" s="2"/>
      <c r="AK64" s="2" t="s">
        <v>142</v>
      </c>
      <c r="AL64" s="2" t="s">
        <v>1146</v>
      </c>
      <c r="AM64" s="2" t="s">
        <v>1147</v>
      </c>
      <c r="AN64" s="2" t="s">
        <v>1588</v>
      </c>
      <c r="AO64" s="2" t="s">
        <v>1709</v>
      </c>
      <c r="AP64" s="2">
        <v>345418000</v>
      </c>
      <c r="AQ64" s="2">
        <v>345418000</v>
      </c>
      <c r="AR64" s="2" t="s">
        <v>275</v>
      </c>
      <c r="AS64" s="2">
        <v>43975104</v>
      </c>
      <c r="AT64" s="2" t="s">
        <v>1150</v>
      </c>
      <c r="AU64" s="2"/>
      <c r="AV64" s="2"/>
      <c r="AW64" s="2" t="s">
        <v>148</v>
      </c>
      <c r="AX64" s="2">
        <v>91387195</v>
      </c>
      <c r="AY64" s="2" t="s">
        <v>1152</v>
      </c>
      <c r="AZ64" s="2" t="s">
        <v>1153</v>
      </c>
      <c r="BA64" s="2" t="s">
        <v>1710</v>
      </c>
      <c r="BB64" s="2">
        <v>0</v>
      </c>
      <c r="BC64" s="3" t="str">
        <f>HYPERLINK("https://patentscout.innography.com/share/JZvb10PC2GXsfDmdxwLeCA%3D%3D","US20150062113")</f>
        <v>US20150062113</v>
      </c>
      <c r="BD64" s="2" t="s">
        <v>1711</v>
      </c>
      <c r="BE64" s="2" t="s">
        <v>1155</v>
      </c>
      <c r="BF64" s="2" t="s">
        <v>1712</v>
      </c>
      <c r="BG64" s="2" t="str">
        <f>HYPERLINK("https://patentscout.innography.com/share/JZvb10PC2GXsfDmdxwLeCA%3D%3D/download", "Download PDF")</f>
        <v>Download PDF</v>
      </c>
      <c r="BH64" s="2" t="s">
        <v>1713</v>
      </c>
      <c r="BI64" s="2"/>
      <c r="BJ64" s="2" t="s">
        <v>1145</v>
      </c>
      <c r="BK64" s="2" t="s">
        <v>1158</v>
      </c>
      <c r="BL64" s="2" t="s">
        <v>1158</v>
      </c>
      <c r="BM64" s="2" t="s">
        <v>313</v>
      </c>
      <c r="BN64" s="2"/>
      <c r="BO64" s="2" t="s">
        <v>1159</v>
      </c>
      <c r="BP64" s="2"/>
      <c r="BQ64" s="2"/>
      <c r="BR64" s="2" t="s">
        <v>1160</v>
      </c>
      <c r="BS64" s="2"/>
      <c r="BT64" s="2" t="s">
        <v>1161</v>
      </c>
      <c r="BU64" s="2" t="s">
        <v>1162</v>
      </c>
      <c r="BV64" s="2" t="s">
        <v>1163</v>
      </c>
      <c r="BW64" s="2" t="s">
        <v>318</v>
      </c>
      <c r="BX64" s="2"/>
      <c r="BY64" s="2"/>
      <c r="BZ64" s="2"/>
      <c r="CA64" s="2"/>
      <c r="CB64" s="2"/>
      <c r="CC64" s="2" t="s">
        <v>158</v>
      </c>
      <c r="CD64" s="2" t="str">
        <f>HYPERLINK("https://patentscout.innography.com/share/JZvb10PC2GXsfDmdxwLeCA%3D%3D", "Innography Link")</f>
        <v>Innography Link</v>
      </c>
      <c r="CE64" s="2"/>
      <c r="CF64" s="2"/>
      <c r="CG64" s="2"/>
      <c r="CH64" s="2"/>
      <c r="CI64" s="2"/>
      <c r="CK64" s="2" t="s">
        <v>1714</v>
      </c>
      <c r="CL64" s="2" t="s">
        <v>1715</v>
      </c>
      <c r="CM64" s="2" t="s">
        <v>1716</v>
      </c>
    </row>
    <row r="65" spans="1:94" ht="152" customHeight="1" x14ac:dyDescent="0.45">
      <c r="A65" s="2">
        <v>1</v>
      </c>
      <c r="B65" s="2">
        <v>5</v>
      </c>
      <c r="C65" s="2" t="s">
        <v>1717</v>
      </c>
      <c r="D65" s="2" t="s">
        <v>1718</v>
      </c>
      <c r="E65" s="2"/>
      <c r="F65" s="2" t="s">
        <v>1719</v>
      </c>
      <c r="G65" s="2" t="s">
        <v>1719</v>
      </c>
      <c r="H65" s="2" t="s">
        <v>1720</v>
      </c>
      <c r="I65" s="2" t="s">
        <v>1720</v>
      </c>
      <c r="J65" s="2" t="s">
        <v>1721</v>
      </c>
      <c r="K65" s="2" t="s">
        <v>1719</v>
      </c>
      <c r="L65" s="2" t="s">
        <v>1719</v>
      </c>
      <c r="M65" s="2" t="s">
        <v>1722</v>
      </c>
      <c r="N65" s="2" t="s">
        <v>1723</v>
      </c>
      <c r="O65" s="2"/>
      <c r="P65" s="2" t="s">
        <v>1724</v>
      </c>
      <c r="Q65" s="2"/>
      <c r="R65" s="2"/>
      <c r="S65" s="2" t="s">
        <v>1724</v>
      </c>
      <c r="T65" s="2">
        <v>87</v>
      </c>
      <c r="U65" s="2">
        <v>58</v>
      </c>
      <c r="V65" s="2" t="s">
        <v>1725</v>
      </c>
      <c r="W65" s="2"/>
      <c r="X65" s="2"/>
      <c r="Y65" s="2"/>
      <c r="Z65" s="2" t="s">
        <v>1726</v>
      </c>
      <c r="AA65" s="2" t="s">
        <v>1727</v>
      </c>
      <c r="AB65" s="2">
        <v>8</v>
      </c>
      <c r="AC65" s="2" t="s">
        <v>235</v>
      </c>
      <c r="AD65" s="2" t="s">
        <v>1724</v>
      </c>
      <c r="AE65" s="2">
        <v>141</v>
      </c>
      <c r="AF65" s="2" t="s">
        <v>141</v>
      </c>
      <c r="AG65" s="2"/>
      <c r="AH65" s="2"/>
      <c r="AI65" s="2"/>
      <c r="AJ65" s="2"/>
      <c r="AK65" s="2" t="s">
        <v>217</v>
      </c>
      <c r="AL65" s="2" t="s">
        <v>1587</v>
      </c>
      <c r="AM65" s="2" t="s">
        <v>1587</v>
      </c>
      <c r="AN65" s="2" t="s">
        <v>1588</v>
      </c>
      <c r="AO65" s="2" t="s">
        <v>1728</v>
      </c>
      <c r="AP65" s="2">
        <v>340005530</v>
      </c>
      <c r="AQ65" s="2">
        <v>340005530</v>
      </c>
      <c r="AR65" s="2" t="s">
        <v>185</v>
      </c>
      <c r="AS65" s="2">
        <v>81395571</v>
      </c>
      <c r="AT65" s="2" t="s">
        <v>1729</v>
      </c>
      <c r="AU65" s="2"/>
      <c r="AV65" s="2"/>
      <c r="AW65" s="2" t="s">
        <v>336</v>
      </c>
      <c r="AX65" s="2">
        <v>87873664</v>
      </c>
      <c r="AY65" s="2" t="s">
        <v>1730</v>
      </c>
      <c r="AZ65" s="2" t="s">
        <v>1731</v>
      </c>
      <c r="BA65" s="2" t="s">
        <v>1732</v>
      </c>
      <c r="BB65" s="2">
        <v>0</v>
      </c>
      <c r="BC65" s="3" t="str">
        <f>HYPERLINK("https://patentscout.innography.com/share/cn6I90SdGU8Dj3qP3Pb9rA%3D%3D","KR102388442")</f>
        <v>KR102388442</v>
      </c>
      <c r="BD65" s="2" t="s">
        <v>1733</v>
      </c>
      <c r="BE65" s="2" t="s">
        <v>1734</v>
      </c>
      <c r="BF65" s="2" t="s">
        <v>1735</v>
      </c>
      <c r="BG65" s="2" t="str">
        <f>HYPERLINK("https://patentscout.innography.com/share/cn6I90SdGU8Dj3qP3Pb9rA%3D%3D/download", "Download PDF")</f>
        <v>Download PDF</v>
      </c>
      <c r="BH65" s="2" t="s">
        <v>1736</v>
      </c>
      <c r="BI65" s="2"/>
      <c r="BJ65" s="2" t="s">
        <v>1737</v>
      </c>
      <c r="BK65" s="2" t="s">
        <v>1737</v>
      </c>
      <c r="BL65" s="2" t="s">
        <v>1737</v>
      </c>
      <c r="BM65" s="2"/>
      <c r="BN65" s="2"/>
      <c r="BO65" s="2"/>
      <c r="BP65" s="2"/>
      <c r="BQ65" s="2"/>
      <c r="BR65" s="2"/>
      <c r="BS65" s="2"/>
      <c r="BT65" s="2"/>
      <c r="BU65" s="2"/>
      <c r="BV65" s="2"/>
      <c r="BW65" s="2"/>
      <c r="BX65" s="2"/>
      <c r="BY65" s="2"/>
      <c r="BZ65" s="2"/>
      <c r="CA65" s="2"/>
      <c r="CB65" s="2"/>
      <c r="CC65" s="2" t="s">
        <v>243</v>
      </c>
      <c r="CD65" s="2" t="str">
        <f>HYPERLINK("https://patentscout.innography.com/share/cn6I90SdGU8Dj3qP3Pb9rA%3D%3D", "Innography Link")</f>
        <v>Innography Link</v>
      </c>
      <c r="CE65" s="2"/>
      <c r="CF65" s="2"/>
      <c r="CG65" s="2"/>
      <c r="CH65" s="2"/>
      <c r="CI65" s="2"/>
      <c r="CK65" s="2" t="s">
        <v>1738</v>
      </c>
      <c r="CL65" s="2" t="s">
        <v>780</v>
      </c>
      <c r="CM65" s="2" t="s">
        <v>1739</v>
      </c>
      <c r="CN65" s="2" t="s">
        <v>1740</v>
      </c>
      <c r="CO65" s="2" t="s">
        <v>854</v>
      </c>
      <c r="CP65" s="2" t="s">
        <v>1741</v>
      </c>
    </row>
    <row r="66" spans="1:94" ht="152" customHeight="1" x14ac:dyDescent="0.45">
      <c r="A66" s="2">
        <v>0</v>
      </c>
      <c r="B66" s="2">
        <v>4</v>
      </c>
      <c r="C66" s="2" t="s">
        <v>1742</v>
      </c>
      <c r="D66" s="2"/>
      <c r="E66" s="2"/>
      <c r="F66" s="2" t="s">
        <v>1743</v>
      </c>
      <c r="G66" s="2" t="s">
        <v>1743</v>
      </c>
      <c r="H66" s="2" t="s">
        <v>1744</v>
      </c>
      <c r="I66" s="2" t="s">
        <v>1744</v>
      </c>
      <c r="J66" s="2" t="s">
        <v>1745</v>
      </c>
      <c r="K66" s="2" t="s">
        <v>1743</v>
      </c>
      <c r="L66" s="2" t="s">
        <v>1743</v>
      </c>
      <c r="M66" s="2" t="s">
        <v>1746</v>
      </c>
      <c r="N66" s="2" t="s">
        <v>1747</v>
      </c>
      <c r="O66" s="2"/>
      <c r="P66" s="2" t="s">
        <v>1748</v>
      </c>
      <c r="Q66" s="2" t="s">
        <v>1749</v>
      </c>
      <c r="R66" s="2" t="s">
        <v>1750</v>
      </c>
      <c r="S66" s="2" t="s">
        <v>1748</v>
      </c>
      <c r="T66" s="2">
        <v>87</v>
      </c>
      <c r="U66" s="2">
        <v>3</v>
      </c>
      <c r="V66" s="2" t="s">
        <v>1751</v>
      </c>
      <c r="W66" s="2"/>
      <c r="X66" s="2"/>
      <c r="Y66" s="2"/>
      <c r="Z66" s="2" t="s">
        <v>1752</v>
      </c>
      <c r="AA66" s="2" t="s">
        <v>1753</v>
      </c>
      <c r="AB66" s="2">
        <v>2</v>
      </c>
      <c r="AC66" s="2" t="s">
        <v>235</v>
      </c>
      <c r="AD66" s="2" t="s">
        <v>1754</v>
      </c>
      <c r="AE66" s="2">
        <v>548</v>
      </c>
      <c r="AF66" s="2" t="s">
        <v>141</v>
      </c>
      <c r="AG66" s="2"/>
      <c r="AH66" s="2"/>
      <c r="AI66" s="2"/>
      <c r="AJ66" s="2"/>
      <c r="AK66" s="2" t="s">
        <v>217</v>
      </c>
      <c r="AL66" s="2" t="s">
        <v>298</v>
      </c>
      <c r="AM66" s="2" t="s">
        <v>298</v>
      </c>
      <c r="AN66" s="2" t="s">
        <v>1755</v>
      </c>
      <c r="AO66" s="2" t="s">
        <v>1756</v>
      </c>
      <c r="AP66" s="2"/>
      <c r="AQ66" s="2"/>
      <c r="AR66" s="2" t="s">
        <v>253</v>
      </c>
      <c r="AS66" s="2">
        <v>82399143</v>
      </c>
      <c r="AT66" s="2" t="s">
        <v>1757</v>
      </c>
      <c r="AU66" s="2"/>
      <c r="AV66" s="2"/>
      <c r="AW66" s="2" t="s">
        <v>336</v>
      </c>
      <c r="AX66" s="2">
        <v>89048153</v>
      </c>
      <c r="AY66" s="2" t="s">
        <v>1758</v>
      </c>
      <c r="AZ66" s="2" t="s">
        <v>1759</v>
      </c>
      <c r="BA66" s="2" t="s">
        <v>1760</v>
      </c>
      <c r="BB66" s="2">
        <v>0</v>
      </c>
      <c r="BC66" s="3" t="str">
        <f>HYPERLINK("https://patentscout.innography.com/share/hMfqMmDeDg43xCEQqIvqYQ%3D%3D","KR102415719")</f>
        <v>KR102415719</v>
      </c>
      <c r="BD66" s="2" t="s">
        <v>1761</v>
      </c>
      <c r="BE66" s="2" t="s">
        <v>1762</v>
      </c>
      <c r="BF66" s="2" t="s">
        <v>1763</v>
      </c>
      <c r="BG66" s="2" t="str">
        <f>HYPERLINK("https://patentscout.innography.com/share/hMfqMmDeDg43xCEQqIvqYQ%3D%3D/download", "Download PDF")</f>
        <v>Download PDF</v>
      </c>
      <c r="BH66" s="2" t="s">
        <v>1764</v>
      </c>
      <c r="BI66" s="2"/>
      <c r="BJ66" s="2" t="s">
        <v>1765</v>
      </c>
      <c r="BK66" s="2" t="s">
        <v>1765</v>
      </c>
      <c r="BL66" s="2" t="s">
        <v>1765</v>
      </c>
      <c r="BM66" s="2"/>
      <c r="BN66" s="2"/>
      <c r="BO66" s="2"/>
      <c r="BP66" s="2"/>
      <c r="BQ66" s="2"/>
      <c r="BR66" s="2"/>
      <c r="BS66" s="2"/>
      <c r="BT66" s="2"/>
      <c r="BU66" s="2"/>
      <c r="BV66" s="2"/>
      <c r="BW66" s="2"/>
      <c r="BX66" s="2"/>
      <c r="BY66" s="2"/>
      <c r="BZ66" s="2"/>
      <c r="CA66" s="2"/>
      <c r="CB66" s="2"/>
      <c r="CC66" s="2" t="s">
        <v>243</v>
      </c>
      <c r="CD66" s="2" t="str">
        <f>HYPERLINK("https://patentscout.innography.com/share/hMfqMmDeDg43xCEQqIvqYQ%3D%3D", "Innography Link")</f>
        <v>Innography Link</v>
      </c>
      <c r="CE66" s="2"/>
      <c r="CF66" s="2"/>
      <c r="CG66" s="2"/>
      <c r="CH66" s="2"/>
      <c r="CI66" s="2"/>
      <c r="CK66" s="2" t="s">
        <v>1766</v>
      </c>
      <c r="CL66" s="2" t="s">
        <v>780</v>
      </c>
    </row>
    <row r="67" spans="1:94" ht="152" customHeight="1" x14ac:dyDescent="0.45">
      <c r="A67" s="2">
        <v>0</v>
      </c>
      <c r="B67" s="2">
        <v>8</v>
      </c>
      <c r="C67" s="2" t="s">
        <v>1767</v>
      </c>
      <c r="D67" s="2"/>
      <c r="E67" s="2"/>
      <c r="F67" s="2" t="s">
        <v>1768</v>
      </c>
      <c r="G67" s="2" t="s">
        <v>1768</v>
      </c>
      <c r="H67" s="2" t="s">
        <v>1643</v>
      </c>
      <c r="I67" s="2" t="s">
        <v>1643</v>
      </c>
      <c r="J67" s="2" t="s">
        <v>1644</v>
      </c>
      <c r="K67" s="2" t="s">
        <v>1768</v>
      </c>
      <c r="L67" s="2" t="s">
        <v>1768</v>
      </c>
      <c r="M67" s="2" t="s">
        <v>1769</v>
      </c>
      <c r="N67" s="2" t="s">
        <v>1770</v>
      </c>
      <c r="O67" s="2" t="s">
        <v>1771</v>
      </c>
      <c r="P67" s="2" t="s">
        <v>1647</v>
      </c>
      <c r="Q67" s="2" t="s">
        <v>1648</v>
      </c>
      <c r="R67" s="2" t="s">
        <v>1648</v>
      </c>
      <c r="S67" s="2" t="s">
        <v>1647</v>
      </c>
      <c r="T67" s="2">
        <v>87</v>
      </c>
      <c r="U67" s="2">
        <v>8</v>
      </c>
      <c r="V67" s="2" t="s">
        <v>1772</v>
      </c>
      <c r="W67" s="2"/>
      <c r="X67" s="2"/>
      <c r="Y67" s="2"/>
      <c r="Z67" s="2" t="s">
        <v>1773</v>
      </c>
      <c r="AA67" s="2" t="s">
        <v>1774</v>
      </c>
      <c r="AB67" s="2">
        <v>12</v>
      </c>
      <c r="AC67" s="2" t="s">
        <v>235</v>
      </c>
      <c r="AD67" s="2" t="s">
        <v>1652</v>
      </c>
      <c r="AE67" s="2">
        <v>1144</v>
      </c>
      <c r="AF67" s="2" t="s">
        <v>141</v>
      </c>
      <c r="AG67" s="2"/>
      <c r="AH67" s="2"/>
      <c r="AI67" s="2"/>
      <c r="AJ67" s="2"/>
      <c r="AK67" s="2" t="s">
        <v>217</v>
      </c>
      <c r="AL67" s="2" t="s">
        <v>1611</v>
      </c>
      <c r="AM67" s="2" t="s">
        <v>1611</v>
      </c>
      <c r="AN67" s="2" t="s">
        <v>1612</v>
      </c>
      <c r="AO67" s="2" t="s">
        <v>1775</v>
      </c>
      <c r="AP67" s="2">
        <v>340005530</v>
      </c>
      <c r="AQ67" s="2">
        <v>340005530</v>
      </c>
      <c r="AR67" s="2" t="s">
        <v>253</v>
      </c>
      <c r="AS67" s="2">
        <v>83446581</v>
      </c>
      <c r="AT67" s="2" t="s">
        <v>1776</v>
      </c>
      <c r="AU67" s="2"/>
      <c r="AV67" s="2"/>
      <c r="AW67" s="2" t="s">
        <v>336</v>
      </c>
      <c r="AX67" s="2">
        <v>91255418</v>
      </c>
      <c r="AY67" s="2" t="s">
        <v>1777</v>
      </c>
      <c r="AZ67" s="2" t="s">
        <v>1778</v>
      </c>
      <c r="BA67" s="2" t="s">
        <v>1657</v>
      </c>
      <c r="BB67" s="2">
        <v>0</v>
      </c>
      <c r="BC67" s="3" t="str">
        <f>HYPERLINK("https://patentscout.innography.com/share/IgOzTly83LfOjSBUUp3CuQ%3D%3D","KR102445135")</f>
        <v>KR102445135</v>
      </c>
      <c r="BD67" s="2" t="s">
        <v>1779</v>
      </c>
      <c r="BE67" s="2"/>
      <c r="BF67" s="2" t="s">
        <v>1780</v>
      </c>
      <c r="BG67" s="2" t="str">
        <f>HYPERLINK("https://patentscout.innography.com/share/IgOzTly83LfOjSBUUp3CuQ%3D%3D/download", "Download PDF")</f>
        <v>Download PDF</v>
      </c>
      <c r="BH67" s="2" t="s">
        <v>1781</v>
      </c>
      <c r="BI67" s="2"/>
      <c r="BJ67" s="2" t="s">
        <v>1782</v>
      </c>
      <c r="BK67" s="2" t="s">
        <v>1782</v>
      </c>
      <c r="BL67" s="2" t="s">
        <v>1782</v>
      </c>
      <c r="BM67" s="2"/>
      <c r="BN67" s="2"/>
      <c r="BO67" s="2"/>
      <c r="BP67" s="2"/>
      <c r="BQ67" s="2"/>
      <c r="BR67" s="2"/>
      <c r="BS67" s="2"/>
      <c r="BT67" s="2"/>
      <c r="BU67" s="2"/>
      <c r="BV67" s="2"/>
      <c r="BW67" s="2"/>
      <c r="BX67" s="2"/>
      <c r="BY67" s="2"/>
      <c r="BZ67" s="2"/>
      <c r="CA67" s="2"/>
      <c r="CB67" s="2"/>
      <c r="CC67" s="2" t="s">
        <v>243</v>
      </c>
      <c r="CD67" s="2" t="str">
        <f>HYPERLINK("https://patentscout.innography.com/share/IgOzTly83LfOjSBUUp3CuQ%3D%3D", "Innography Link")</f>
        <v>Innography Link</v>
      </c>
      <c r="CE67" s="2"/>
      <c r="CF67" s="2"/>
      <c r="CG67" s="2"/>
      <c r="CH67" s="2"/>
      <c r="CI67" s="2"/>
      <c r="CK67" s="2" t="s">
        <v>1783</v>
      </c>
      <c r="CL67" s="2" t="s">
        <v>780</v>
      </c>
      <c r="CM67" s="2" t="s">
        <v>854</v>
      </c>
      <c r="CN67" s="2" t="s">
        <v>602</v>
      </c>
      <c r="CO67" s="2" t="s">
        <v>372</v>
      </c>
      <c r="CP67" s="2" t="s">
        <v>1784</v>
      </c>
    </row>
    <row r="68" spans="1:94" ht="152" customHeight="1" x14ac:dyDescent="0.45">
      <c r="A68" s="2">
        <v>0</v>
      </c>
      <c r="B68" s="2">
        <v>1</v>
      </c>
      <c r="C68" s="2" t="s">
        <v>1785</v>
      </c>
      <c r="D68" s="2"/>
      <c r="E68" s="2" t="s">
        <v>887</v>
      </c>
      <c r="F68" s="2"/>
      <c r="G68" s="2" t="s">
        <v>887</v>
      </c>
      <c r="H68" s="2" t="s">
        <v>860</v>
      </c>
      <c r="I68" s="2" t="s">
        <v>1786</v>
      </c>
      <c r="J68" s="2" t="s">
        <v>1787</v>
      </c>
      <c r="K68" s="2" t="s">
        <v>887</v>
      </c>
      <c r="L68" s="2" t="s">
        <v>887</v>
      </c>
      <c r="M68" s="2" t="s">
        <v>1788</v>
      </c>
      <c r="N68" s="2" t="s">
        <v>1789</v>
      </c>
      <c r="O68" s="2"/>
      <c r="P68" s="2" t="s">
        <v>1790</v>
      </c>
      <c r="Q68" s="2" t="s">
        <v>1790</v>
      </c>
      <c r="R68" s="2" t="s">
        <v>1791</v>
      </c>
      <c r="S68" s="2" t="s">
        <v>1790</v>
      </c>
      <c r="T68" s="2">
        <v>87</v>
      </c>
      <c r="U68" s="2">
        <v>1</v>
      </c>
      <c r="V68" s="2" t="s">
        <v>1792</v>
      </c>
      <c r="W68" s="2"/>
      <c r="X68" s="2"/>
      <c r="Y68" s="2"/>
      <c r="Z68" s="2" t="s">
        <v>1793</v>
      </c>
      <c r="AA68" s="2" t="s">
        <v>1793</v>
      </c>
      <c r="AB68" s="2">
        <v>1</v>
      </c>
      <c r="AC68" s="2" t="s">
        <v>214</v>
      </c>
      <c r="AD68" s="2" t="s">
        <v>1794</v>
      </c>
      <c r="AE68" s="2">
        <v>499</v>
      </c>
      <c r="AF68" s="2" t="s">
        <v>141</v>
      </c>
      <c r="AG68" s="2"/>
      <c r="AH68" s="2"/>
      <c r="AI68" s="2"/>
      <c r="AJ68" s="2"/>
      <c r="AK68" s="2" t="s">
        <v>217</v>
      </c>
      <c r="AL68" s="2" t="s">
        <v>1510</v>
      </c>
      <c r="AM68" s="2" t="s">
        <v>1795</v>
      </c>
      <c r="AN68" s="2" t="s">
        <v>1511</v>
      </c>
      <c r="AO68" s="2" t="s">
        <v>1796</v>
      </c>
      <c r="AP68" s="2">
        <v>705348000</v>
      </c>
      <c r="AQ68" s="2">
        <v>705348000</v>
      </c>
      <c r="AR68" s="2" t="s">
        <v>253</v>
      </c>
      <c r="AS68" s="2">
        <v>84042208</v>
      </c>
      <c r="AT68" s="2" t="s">
        <v>1797</v>
      </c>
      <c r="AU68" s="2"/>
      <c r="AV68" s="2"/>
      <c r="AW68" s="2" t="s">
        <v>219</v>
      </c>
      <c r="AX68" s="2">
        <v>92600257</v>
      </c>
      <c r="AY68" s="2" t="s">
        <v>1798</v>
      </c>
      <c r="AZ68" s="2" t="s">
        <v>1799</v>
      </c>
      <c r="BA68" s="2" t="s">
        <v>1800</v>
      </c>
      <c r="BB68" s="2">
        <v>0</v>
      </c>
      <c r="BC68" s="3" t="str">
        <f>HYPERLINK("https://patentscout.innography.com/share/8aF_sD_sXxYcF2-MojiJoA%3D%3D","KR20220146366")</f>
        <v>KR20220146366</v>
      </c>
      <c r="BD68" s="2" t="s">
        <v>1801</v>
      </c>
      <c r="BE68" s="2" t="s">
        <v>1802</v>
      </c>
      <c r="BF68" s="2" t="s">
        <v>1803</v>
      </c>
      <c r="BG68" s="2" t="str">
        <f>HYPERLINK("https://patentscout.innography.com/share/8aF_sD_sXxYcF2-MojiJoA%3D%3D/download", "Download PDF")</f>
        <v>Download PDF</v>
      </c>
      <c r="BH68" s="2" t="s">
        <v>1804</v>
      </c>
      <c r="BI68" s="2"/>
      <c r="BJ68" s="2" t="s">
        <v>1805</v>
      </c>
      <c r="BK68" s="2" t="s">
        <v>1806</v>
      </c>
      <c r="BL68" s="2" t="s">
        <v>1806</v>
      </c>
      <c r="BM68" s="2"/>
      <c r="BN68" s="2"/>
      <c r="BO68" s="2"/>
      <c r="BP68" s="2"/>
      <c r="BQ68" s="2"/>
      <c r="BR68" s="2"/>
      <c r="BS68" s="2"/>
      <c r="BT68" s="2"/>
      <c r="BU68" s="2"/>
      <c r="BV68" s="2"/>
      <c r="BW68" s="2"/>
      <c r="BX68" s="2"/>
      <c r="BY68" s="2"/>
      <c r="BZ68" s="2"/>
      <c r="CA68" s="2"/>
      <c r="CB68" s="2"/>
      <c r="CC68" s="2" t="s">
        <v>228</v>
      </c>
      <c r="CD68" s="2" t="str">
        <f>HYPERLINK("https://patentscout.innography.com/share/8aF_sD_sXxYcF2-MojiJoA%3D%3D", "Innography Link")</f>
        <v>Innography Link</v>
      </c>
      <c r="CE68" s="2"/>
      <c r="CF68" s="2"/>
      <c r="CG68" s="2"/>
      <c r="CH68" s="2"/>
      <c r="CI68" s="2"/>
      <c r="CK68" s="2" t="s">
        <v>1807</v>
      </c>
    </row>
    <row r="69" spans="1:94" ht="152" customHeight="1" x14ac:dyDescent="0.45">
      <c r="A69" s="2">
        <v>0</v>
      </c>
      <c r="B69" s="2">
        <v>0</v>
      </c>
      <c r="C69" s="2"/>
      <c r="D69" s="2"/>
      <c r="E69" s="2" t="s">
        <v>887</v>
      </c>
      <c r="F69" s="2"/>
      <c r="G69" s="2" t="s">
        <v>887</v>
      </c>
      <c r="H69" s="2" t="s">
        <v>1808</v>
      </c>
      <c r="I69" s="2" t="s">
        <v>1808</v>
      </c>
      <c r="J69" s="2" t="s">
        <v>1809</v>
      </c>
      <c r="K69" s="2" t="s">
        <v>887</v>
      </c>
      <c r="L69" s="2" t="s">
        <v>887</v>
      </c>
      <c r="M69" s="2" t="s">
        <v>1810</v>
      </c>
      <c r="N69" s="2" t="s">
        <v>1811</v>
      </c>
      <c r="O69" s="2" t="s">
        <v>1812</v>
      </c>
      <c r="P69" s="2"/>
      <c r="Q69" s="2"/>
      <c r="R69" s="2"/>
      <c r="S69" s="2"/>
      <c r="T69" s="2">
        <v>87</v>
      </c>
      <c r="U69" s="2">
        <v>7</v>
      </c>
      <c r="V69" s="2" t="s">
        <v>1813</v>
      </c>
      <c r="W69" s="2"/>
      <c r="X69" s="2"/>
      <c r="Y69" s="2"/>
      <c r="Z69" s="2" t="s">
        <v>1814</v>
      </c>
      <c r="AA69" s="2" t="s">
        <v>1815</v>
      </c>
      <c r="AB69" s="2">
        <v>10</v>
      </c>
      <c r="AC69" s="2" t="s">
        <v>214</v>
      </c>
      <c r="AD69" s="2"/>
      <c r="AE69" s="2">
        <v>80</v>
      </c>
      <c r="AF69" s="2" t="s">
        <v>141</v>
      </c>
      <c r="AG69" s="2"/>
      <c r="AH69" s="2"/>
      <c r="AI69" s="2"/>
      <c r="AJ69" s="2"/>
      <c r="AK69" s="2" t="s">
        <v>1816</v>
      </c>
      <c r="AL69" s="2" t="s">
        <v>1817</v>
      </c>
      <c r="AM69" s="2" t="s">
        <v>1817</v>
      </c>
      <c r="AN69" s="2" t="s">
        <v>1818</v>
      </c>
      <c r="AO69" s="2" t="s">
        <v>1819</v>
      </c>
      <c r="AP69" s="2">
        <v>705348000</v>
      </c>
      <c r="AQ69" s="2">
        <v>705348000</v>
      </c>
      <c r="AR69" s="2" t="s">
        <v>253</v>
      </c>
      <c r="AS69" s="2">
        <v>83753970</v>
      </c>
      <c r="AT69" s="2" t="s">
        <v>1820</v>
      </c>
      <c r="AU69" s="2"/>
      <c r="AV69" s="2"/>
      <c r="AW69" s="2" t="s">
        <v>1821</v>
      </c>
      <c r="AX69" s="2">
        <v>92331729</v>
      </c>
      <c r="AY69" s="2" t="s">
        <v>1822</v>
      </c>
      <c r="AZ69" s="2" t="s">
        <v>1823</v>
      </c>
      <c r="BA69" s="2" t="s">
        <v>1824</v>
      </c>
      <c r="BB69" s="2">
        <v>0</v>
      </c>
      <c r="BC69" s="3" t="str">
        <f>HYPERLINK("https://patentscout.innography.com/share/SA20LO690yfPSoAgzQsltw%3D%3D","CN115271964")</f>
        <v>CN115271964</v>
      </c>
      <c r="BD69" s="2" t="s">
        <v>1825</v>
      </c>
      <c r="BE69" s="2" t="s">
        <v>1826</v>
      </c>
      <c r="BF69" s="2" t="s">
        <v>1827</v>
      </c>
      <c r="BG69" s="2" t="str">
        <f>HYPERLINK("https://patentscout.innography.com/share/SA20LO690yfPSoAgzQsltw%3D%3D/download", "Download PDF")</f>
        <v>Download PDF</v>
      </c>
      <c r="BH69" s="2" t="s">
        <v>1828</v>
      </c>
      <c r="BI69" s="2"/>
      <c r="BJ69" s="2" t="s">
        <v>1822</v>
      </c>
      <c r="BK69" s="2" t="s">
        <v>1822</v>
      </c>
      <c r="BL69" s="2" t="s">
        <v>1822</v>
      </c>
      <c r="BM69" s="2"/>
      <c r="BN69" s="2"/>
      <c r="BO69" s="2"/>
      <c r="BP69" s="2"/>
      <c r="BQ69" s="2"/>
      <c r="BR69" s="2"/>
      <c r="BS69" s="2"/>
      <c r="BT69" s="2"/>
      <c r="BU69" s="2"/>
      <c r="BV69" s="2"/>
      <c r="BW69" s="2"/>
      <c r="BX69" s="2"/>
      <c r="BY69" s="2"/>
      <c r="BZ69" s="2"/>
      <c r="CA69" s="2"/>
      <c r="CB69" s="2"/>
      <c r="CC69" s="2" t="s">
        <v>1829</v>
      </c>
      <c r="CD69" s="2" t="str">
        <f>HYPERLINK("https://patentscout.innography.com/share/SA20LO690yfPSoAgzQsltw%3D%3D", "Innography Link")</f>
        <v>Innography Link</v>
      </c>
      <c r="CE69" s="2"/>
      <c r="CF69" s="2"/>
      <c r="CG69" s="2"/>
      <c r="CH69" s="2"/>
      <c r="CI69" s="2"/>
      <c r="CK69" s="2" t="s">
        <v>1830</v>
      </c>
      <c r="CL69" s="2" t="s">
        <v>1831</v>
      </c>
    </row>
    <row r="70" spans="1:94" ht="152" customHeight="1" x14ac:dyDescent="0.45">
      <c r="A70" s="2">
        <v>0</v>
      </c>
      <c r="B70" s="2">
        <v>20</v>
      </c>
      <c r="C70" s="2" t="s">
        <v>1832</v>
      </c>
      <c r="D70" s="2"/>
      <c r="E70" s="2" t="s">
        <v>1136</v>
      </c>
      <c r="F70" s="2" t="s">
        <v>1667</v>
      </c>
      <c r="G70" s="2" t="s">
        <v>1667</v>
      </c>
      <c r="H70" s="2" t="s">
        <v>1133</v>
      </c>
      <c r="I70" s="2" t="s">
        <v>1133</v>
      </c>
      <c r="J70" s="2" t="s">
        <v>1833</v>
      </c>
      <c r="K70" s="2" t="s">
        <v>1136</v>
      </c>
      <c r="L70" s="2" t="s">
        <v>1136</v>
      </c>
      <c r="M70" s="2" t="s">
        <v>1137</v>
      </c>
      <c r="N70" s="2" t="s">
        <v>1138</v>
      </c>
      <c r="O70" s="2"/>
      <c r="P70" s="2" t="s">
        <v>381</v>
      </c>
      <c r="Q70" s="2" t="s">
        <v>382</v>
      </c>
      <c r="R70" s="2" t="s">
        <v>382</v>
      </c>
      <c r="S70" s="2" t="s">
        <v>381</v>
      </c>
      <c r="T70" s="2">
        <v>87</v>
      </c>
      <c r="U70" s="2">
        <v>53</v>
      </c>
      <c r="V70" s="2" t="s">
        <v>1668</v>
      </c>
      <c r="W70" s="2" t="s">
        <v>1669</v>
      </c>
      <c r="X70" s="2">
        <v>2171</v>
      </c>
      <c r="Y70" s="2" t="s">
        <v>1141</v>
      </c>
      <c r="Z70" s="2" t="s">
        <v>1834</v>
      </c>
      <c r="AA70" s="2" t="s">
        <v>1835</v>
      </c>
      <c r="AB70" s="2">
        <v>16</v>
      </c>
      <c r="AC70" s="2" t="s">
        <v>250</v>
      </c>
      <c r="AD70" s="2" t="s">
        <v>1672</v>
      </c>
      <c r="AE70" s="2">
        <v>115</v>
      </c>
      <c r="AF70" s="2" t="s">
        <v>141</v>
      </c>
      <c r="AG70" s="2"/>
      <c r="AH70" s="2"/>
      <c r="AI70" s="2" t="s">
        <v>1158</v>
      </c>
      <c r="AJ70" s="2"/>
      <c r="AK70" s="2" t="s">
        <v>142</v>
      </c>
      <c r="AL70" s="2" t="s">
        <v>1146</v>
      </c>
      <c r="AM70" s="2" t="s">
        <v>1147</v>
      </c>
      <c r="AN70" s="2" t="s">
        <v>251</v>
      </c>
      <c r="AO70" s="2" t="s">
        <v>928</v>
      </c>
      <c r="AP70" s="2">
        <v>715848000</v>
      </c>
      <c r="AQ70" s="2">
        <v>715848000</v>
      </c>
      <c r="AR70" s="2" t="s">
        <v>185</v>
      </c>
      <c r="AS70" s="2">
        <v>43975104</v>
      </c>
      <c r="AT70" s="2" t="s">
        <v>1150</v>
      </c>
      <c r="AU70" s="2"/>
      <c r="AV70" s="2"/>
      <c r="AW70" s="2" t="s">
        <v>1151</v>
      </c>
      <c r="AX70" s="2">
        <v>91387195</v>
      </c>
      <c r="AY70" s="2" t="s">
        <v>1152</v>
      </c>
      <c r="AZ70" s="2" t="s">
        <v>1676</v>
      </c>
      <c r="BA70" s="2" t="s">
        <v>1836</v>
      </c>
      <c r="BB70" s="2">
        <v>0</v>
      </c>
      <c r="BC70" s="3" t="str">
        <f>HYPERLINK("https://patentscout.innography.com/share/vLyWCj_eDcmwhaYdj_1gGA%3D%3D","US8893047")</f>
        <v>US8893047</v>
      </c>
      <c r="BD70" s="2" t="s">
        <v>1837</v>
      </c>
      <c r="BE70" s="2" t="s">
        <v>1679</v>
      </c>
      <c r="BF70" s="2" t="s">
        <v>1838</v>
      </c>
      <c r="BG70" s="2" t="str">
        <f>HYPERLINK("https://patentscout.innography.com/share/vLyWCj_eDcmwhaYdj_1gGA%3D%3D/download", "Download PDF")</f>
        <v>Download PDF</v>
      </c>
      <c r="BH70" s="2" t="s">
        <v>1839</v>
      </c>
      <c r="BI70" s="2"/>
      <c r="BJ70" s="2" t="s">
        <v>1158</v>
      </c>
      <c r="BK70" s="2" t="s">
        <v>1158</v>
      </c>
      <c r="BL70" s="2" t="s">
        <v>1158</v>
      </c>
      <c r="BM70" s="2" t="s">
        <v>1682</v>
      </c>
      <c r="BN70" s="2" t="s">
        <v>1683</v>
      </c>
      <c r="BO70" s="2" t="s">
        <v>1684</v>
      </c>
      <c r="BP70" s="2" t="s">
        <v>1685</v>
      </c>
      <c r="BQ70" s="2" t="s">
        <v>1686</v>
      </c>
      <c r="BR70" s="2" t="s">
        <v>1687</v>
      </c>
      <c r="BS70" s="2" t="s">
        <v>169</v>
      </c>
      <c r="BT70" s="2" t="s">
        <v>1688</v>
      </c>
      <c r="BU70" s="2" t="s">
        <v>1162</v>
      </c>
      <c r="BV70" s="2" t="s">
        <v>1689</v>
      </c>
      <c r="BW70" s="2" t="s">
        <v>318</v>
      </c>
      <c r="BX70" s="2"/>
      <c r="BY70" s="2"/>
      <c r="BZ70" s="2"/>
      <c r="CA70" s="2"/>
      <c r="CB70" s="2"/>
      <c r="CC70" s="2" t="s">
        <v>259</v>
      </c>
      <c r="CD70" s="2" t="str">
        <f>HYPERLINK("https://patentscout.innography.com/share/vLyWCj_eDcmwhaYdj_1gGA%3D%3D", "Innography Link")</f>
        <v>Innography Link</v>
      </c>
      <c r="CE70" s="2"/>
      <c r="CF70" s="2"/>
      <c r="CG70" s="2"/>
      <c r="CH70" s="2"/>
      <c r="CI70" s="2"/>
      <c r="CK70" s="2" t="s">
        <v>1840</v>
      </c>
      <c r="CL70" s="2" t="s">
        <v>1841</v>
      </c>
      <c r="CM70" s="2" t="s">
        <v>1842</v>
      </c>
      <c r="CN70" s="2" t="s">
        <v>1843</v>
      </c>
    </row>
    <row r="71" spans="1:94" ht="152" customHeight="1" x14ac:dyDescent="0.45">
      <c r="A71" s="2">
        <v>0</v>
      </c>
      <c r="B71" s="2">
        <v>4</v>
      </c>
      <c r="C71" s="2" t="s">
        <v>1844</v>
      </c>
      <c r="D71" s="2"/>
      <c r="E71" s="2"/>
      <c r="F71" s="2" t="s">
        <v>887</v>
      </c>
      <c r="G71" s="2" t="s">
        <v>887</v>
      </c>
      <c r="H71" s="2" t="s">
        <v>1845</v>
      </c>
      <c r="I71" s="2" t="s">
        <v>1845</v>
      </c>
      <c r="J71" s="2" t="s">
        <v>1846</v>
      </c>
      <c r="K71" s="2" t="s">
        <v>887</v>
      </c>
      <c r="L71" s="2" t="s">
        <v>887</v>
      </c>
      <c r="M71" s="2" t="s">
        <v>1847</v>
      </c>
      <c r="N71" s="2" t="s">
        <v>1848</v>
      </c>
      <c r="O71" s="2" t="s">
        <v>1849</v>
      </c>
      <c r="P71" s="2" t="s">
        <v>1605</v>
      </c>
      <c r="Q71" s="2" t="s">
        <v>1605</v>
      </c>
      <c r="R71" s="2" t="s">
        <v>1606</v>
      </c>
      <c r="S71" s="2" t="s">
        <v>1605</v>
      </c>
      <c r="T71" s="2">
        <v>87</v>
      </c>
      <c r="U71" s="2">
        <v>6</v>
      </c>
      <c r="V71" s="2" t="s">
        <v>1850</v>
      </c>
      <c r="W71" s="2"/>
      <c r="X71" s="2"/>
      <c r="Y71" s="2"/>
      <c r="Z71" s="2" t="s">
        <v>1851</v>
      </c>
      <c r="AA71" s="2" t="s">
        <v>1852</v>
      </c>
      <c r="AB71" s="2">
        <v>10</v>
      </c>
      <c r="AC71" s="2" t="s">
        <v>235</v>
      </c>
      <c r="AD71" s="2" t="s">
        <v>1610</v>
      </c>
      <c r="AE71" s="2">
        <v>471</v>
      </c>
      <c r="AF71" s="2" t="s">
        <v>141</v>
      </c>
      <c r="AG71" s="2"/>
      <c r="AH71" s="2"/>
      <c r="AI71" s="2"/>
      <c r="AJ71" s="2"/>
      <c r="AK71" s="2" t="s">
        <v>217</v>
      </c>
      <c r="AL71" s="2" t="s">
        <v>1611</v>
      </c>
      <c r="AM71" s="2" t="s">
        <v>1611</v>
      </c>
      <c r="AN71" s="2" t="s">
        <v>1853</v>
      </c>
      <c r="AO71" s="2" t="s">
        <v>1854</v>
      </c>
      <c r="AP71" s="2">
        <v>340005530</v>
      </c>
      <c r="AQ71" s="2">
        <v>340005530</v>
      </c>
      <c r="AR71" s="2" t="s">
        <v>253</v>
      </c>
      <c r="AS71" s="2">
        <v>84042451</v>
      </c>
      <c r="AT71" s="2" t="s">
        <v>1855</v>
      </c>
      <c r="AU71" s="2"/>
      <c r="AV71" s="2"/>
      <c r="AW71" s="2" t="s">
        <v>336</v>
      </c>
      <c r="AX71" s="2">
        <v>92598848</v>
      </c>
      <c r="AY71" s="2" t="s">
        <v>1856</v>
      </c>
      <c r="AZ71" s="2" t="s">
        <v>1857</v>
      </c>
      <c r="BA71" s="2" t="s">
        <v>1858</v>
      </c>
      <c r="BB71" s="2">
        <v>0</v>
      </c>
      <c r="BC71" s="3" t="str">
        <f>HYPERLINK("https://patentscout.innography.com/share/ouJZdLVU9R38BgvOe_CvRw%3D%3D","KR102461267")</f>
        <v>KR102461267</v>
      </c>
      <c r="BD71" s="2" t="s">
        <v>1859</v>
      </c>
      <c r="BE71" s="2" t="s">
        <v>1860</v>
      </c>
      <c r="BF71" s="2" t="s">
        <v>1861</v>
      </c>
      <c r="BG71" s="2" t="str">
        <f>HYPERLINK("https://patentscout.innography.com/share/ouJZdLVU9R38BgvOe_CvRw%3D%3D/download", "Download PDF")</f>
        <v>Download PDF</v>
      </c>
      <c r="BH71" s="2" t="s">
        <v>1862</v>
      </c>
      <c r="BI71" s="2"/>
      <c r="BJ71" s="2" t="s">
        <v>1863</v>
      </c>
      <c r="BK71" s="2" t="s">
        <v>1863</v>
      </c>
      <c r="BL71" s="2" t="s">
        <v>1863</v>
      </c>
      <c r="BM71" s="2"/>
      <c r="BN71" s="2"/>
      <c r="BO71" s="2"/>
      <c r="BP71" s="2"/>
      <c r="BQ71" s="2"/>
      <c r="BR71" s="2"/>
      <c r="BS71" s="2"/>
      <c r="BT71" s="2"/>
      <c r="BU71" s="2"/>
      <c r="BV71" s="2"/>
      <c r="BW71" s="2"/>
      <c r="BX71" s="2"/>
      <c r="BY71" s="2"/>
      <c r="BZ71" s="2"/>
      <c r="CA71" s="2"/>
      <c r="CB71" s="2"/>
      <c r="CC71" s="2" t="s">
        <v>243</v>
      </c>
      <c r="CD71" s="2" t="str">
        <f>HYPERLINK("https://patentscout.innography.com/share/ouJZdLVU9R38BgvOe_CvRw%3D%3D", "Innography Link")</f>
        <v>Innography Link</v>
      </c>
      <c r="CE71" s="2"/>
      <c r="CF71" s="2"/>
      <c r="CG71" s="2"/>
      <c r="CH71" s="2"/>
      <c r="CI71" s="2"/>
      <c r="CK71" s="2" t="s">
        <v>1864</v>
      </c>
      <c r="CL71" s="2" t="s">
        <v>780</v>
      </c>
      <c r="CM71" s="2" t="s">
        <v>782</v>
      </c>
    </row>
    <row r="72" spans="1:94" ht="152" customHeight="1" x14ac:dyDescent="0.45">
      <c r="A72" s="2">
        <v>0</v>
      </c>
      <c r="B72" s="2">
        <v>11</v>
      </c>
      <c r="C72" s="2" t="s">
        <v>1865</v>
      </c>
      <c r="D72" s="2"/>
      <c r="E72" s="2"/>
      <c r="F72" s="2" t="s">
        <v>1866</v>
      </c>
      <c r="G72" s="2" t="s">
        <v>1866</v>
      </c>
      <c r="H72" s="2" t="s">
        <v>1867</v>
      </c>
      <c r="I72" s="2" t="s">
        <v>1867</v>
      </c>
      <c r="J72" s="2" t="s">
        <v>1868</v>
      </c>
      <c r="K72" s="2" t="s">
        <v>1866</v>
      </c>
      <c r="L72" s="2" t="s">
        <v>1866</v>
      </c>
      <c r="M72" s="2" t="s">
        <v>1869</v>
      </c>
      <c r="N72" s="2" t="s">
        <v>1870</v>
      </c>
      <c r="O72" s="2"/>
      <c r="P72" s="2" t="s">
        <v>1871</v>
      </c>
      <c r="Q72" s="2" t="s">
        <v>1871</v>
      </c>
      <c r="R72" s="2" t="s">
        <v>1872</v>
      </c>
      <c r="S72" s="2" t="s">
        <v>1871</v>
      </c>
      <c r="T72" s="2">
        <v>87</v>
      </c>
      <c r="U72" s="2">
        <v>11</v>
      </c>
      <c r="V72" s="2" t="s">
        <v>1873</v>
      </c>
      <c r="W72" s="2"/>
      <c r="X72" s="2"/>
      <c r="Y72" s="2"/>
      <c r="Z72" s="2" t="s">
        <v>1874</v>
      </c>
      <c r="AA72" s="2" t="s">
        <v>1875</v>
      </c>
      <c r="AB72" s="2">
        <v>12</v>
      </c>
      <c r="AC72" s="2" t="s">
        <v>235</v>
      </c>
      <c r="AD72" s="2" t="s">
        <v>1876</v>
      </c>
      <c r="AE72" s="2">
        <v>278</v>
      </c>
      <c r="AF72" s="2" t="s">
        <v>141</v>
      </c>
      <c r="AG72" s="2"/>
      <c r="AH72" s="2"/>
      <c r="AI72" s="2"/>
      <c r="AJ72" s="2"/>
      <c r="AK72" s="2" t="s">
        <v>217</v>
      </c>
      <c r="AL72" s="2" t="s">
        <v>1877</v>
      </c>
      <c r="AM72" s="2" t="s">
        <v>1877</v>
      </c>
      <c r="AN72" s="2" t="s">
        <v>1878</v>
      </c>
      <c r="AO72" s="2" t="s">
        <v>1879</v>
      </c>
      <c r="AP72" s="2">
        <v>705348000</v>
      </c>
      <c r="AQ72" s="2">
        <v>705348000</v>
      </c>
      <c r="AR72" s="2" t="s">
        <v>541</v>
      </c>
      <c r="AS72" s="2">
        <v>83103125</v>
      </c>
      <c r="AT72" s="2" t="s">
        <v>1880</v>
      </c>
      <c r="AU72" s="2"/>
      <c r="AV72" s="2"/>
      <c r="AW72" s="2" t="s">
        <v>336</v>
      </c>
      <c r="AX72" s="2">
        <v>90039926</v>
      </c>
      <c r="AY72" s="2" t="s">
        <v>1881</v>
      </c>
      <c r="AZ72" s="2" t="s">
        <v>1882</v>
      </c>
      <c r="BA72" s="2" t="s">
        <v>1883</v>
      </c>
      <c r="BB72" s="2">
        <v>0</v>
      </c>
      <c r="BC72" s="3" t="str">
        <f>HYPERLINK("https://patentscout.innography.com/share/AVfXXAdOygIA2GnLN2Lu9w%3D%3D","KR102434203")</f>
        <v>KR102434203</v>
      </c>
      <c r="BD72" s="2" t="s">
        <v>1884</v>
      </c>
      <c r="BE72" s="2" t="s">
        <v>1885</v>
      </c>
      <c r="BF72" s="2" t="s">
        <v>1886</v>
      </c>
      <c r="BG72" s="2" t="str">
        <f>HYPERLINK("https://patentscout.innography.com/share/AVfXXAdOygIA2GnLN2Lu9w%3D%3D/download", "Download PDF")</f>
        <v>Download PDF</v>
      </c>
      <c r="BH72" s="2" t="s">
        <v>1887</v>
      </c>
      <c r="BI72" s="2"/>
      <c r="BJ72" s="2" t="s">
        <v>1888</v>
      </c>
      <c r="BK72" s="2" t="s">
        <v>1888</v>
      </c>
      <c r="BL72" s="2" t="s">
        <v>1888</v>
      </c>
      <c r="BM72" s="2"/>
      <c r="BN72" s="2"/>
      <c r="BO72" s="2"/>
      <c r="BP72" s="2"/>
      <c r="BQ72" s="2"/>
      <c r="BR72" s="2"/>
      <c r="BS72" s="2"/>
      <c r="BT72" s="2"/>
      <c r="BU72" s="2"/>
      <c r="BV72" s="2"/>
      <c r="BW72" s="2"/>
      <c r="BX72" s="2"/>
      <c r="BY72" s="2"/>
      <c r="BZ72" s="2"/>
      <c r="CA72" s="2"/>
      <c r="CB72" s="2"/>
      <c r="CC72" s="2" t="s">
        <v>243</v>
      </c>
      <c r="CD72" s="2" t="str">
        <f>HYPERLINK("https://patentscout.innography.com/share/AVfXXAdOygIA2GnLN2Lu9w%3D%3D", "Innography Link")</f>
        <v>Innography Link</v>
      </c>
      <c r="CE72" s="2"/>
      <c r="CF72" s="2"/>
      <c r="CG72" s="2"/>
      <c r="CH72" s="2"/>
      <c r="CI72" s="2"/>
      <c r="CK72" s="2" t="s">
        <v>1889</v>
      </c>
      <c r="CL72" s="2" t="s">
        <v>854</v>
      </c>
      <c r="CM72" s="2" t="s">
        <v>372</v>
      </c>
      <c r="CN72" s="2" t="s">
        <v>782</v>
      </c>
    </row>
    <row r="73" spans="1:94" ht="152" customHeight="1" x14ac:dyDescent="0.45">
      <c r="A73" s="2">
        <v>0</v>
      </c>
      <c r="B73" s="2">
        <v>4</v>
      </c>
      <c r="C73" s="2" t="s">
        <v>1890</v>
      </c>
      <c r="D73" s="2"/>
      <c r="E73" s="2" t="s">
        <v>859</v>
      </c>
      <c r="F73" s="2"/>
      <c r="G73" s="2" t="s">
        <v>859</v>
      </c>
      <c r="H73" s="2" t="s">
        <v>1891</v>
      </c>
      <c r="I73" s="2" t="s">
        <v>1892</v>
      </c>
      <c r="J73" s="2" t="s">
        <v>1893</v>
      </c>
      <c r="K73" s="2" t="s">
        <v>859</v>
      </c>
      <c r="L73" s="2" t="s">
        <v>859</v>
      </c>
      <c r="M73" s="2" t="s">
        <v>1894</v>
      </c>
      <c r="N73" s="2" t="s">
        <v>1895</v>
      </c>
      <c r="O73" s="2" t="s">
        <v>1896</v>
      </c>
      <c r="P73" s="2" t="s">
        <v>1897</v>
      </c>
      <c r="Q73" s="2" t="s">
        <v>1897</v>
      </c>
      <c r="R73" s="2" t="s">
        <v>1897</v>
      </c>
      <c r="S73" s="2" t="s">
        <v>1897</v>
      </c>
      <c r="T73" s="2">
        <v>87</v>
      </c>
      <c r="U73" s="2">
        <v>5</v>
      </c>
      <c r="V73" s="2" t="s">
        <v>1898</v>
      </c>
      <c r="W73" s="2"/>
      <c r="X73" s="2"/>
      <c r="Y73" s="2"/>
      <c r="Z73" s="2" t="s">
        <v>1899</v>
      </c>
      <c r="AA73" s="2" t="s">
        <v>1900</v>
      </c>
      <c r="AB73" s="2">
        <v>3</v>
      </c>
      <c r="AC73" s="2" t="s">
        <v>139</v>
      </c>
      <c r="AD73" s="2" t="s">
        <v>1901</v>
      </c>
      <c r="AE73" s="2">
        <v>158</v>
      </c>
      <c r="AF73" s="2" t="s">
        <v>141</v>
      </c>
      <c r="AG73" s="2" t="s">
        <v>796</v>
      </c>
      <c r="AH73" s="2"/>
      <c r="AI73" s="2"/>
      <c r="AJ73" s="2"/>
      <c r="AK73" s="2" t="s">
        <v>619</v>
      </c>
      <c r="AL73" s="2" t="s">
        <v>1902</v>
      </c>
      <c r="AM73" s="2" t="s">
        <v>1903</v>
      </c>
      <c r="AN73" s="2" t="s">
        <v>589</v>
      </c>
      <c r="AO73" s="2" t="s">
        <v>1904</v>
      </c>
      <c r="AP73" s="2">
        <v>705348000</v>
      </c>
      <c r="AQ73" s="2">
        <v>705348000</v>
      </c>
      <c r="AR73" s="2" t="s">
        <v>253</v>
      </c>
      <c r="AS73" s="2">
        <v>83722366</v>
      </c>
      <c r="AT73" s="2" t="s">
        <v>1905</v>
      </c>
      <c r="AU73" s="2"/>
      <c r="AV73" s="2"/>
      <c r="AW73" s="2" t="s">
        <v>624</v>
      </c>
      <c r="AX73" s="2">
        <v>92039629</v>
      </c>
      <c r="AY73" s="2" t="s">
        <v>1906</v>
      </c>
      <c r="AZ73" s="2" t="s">
        <v>1907</v>
      </c>
      <c r="BA73" s="2" t="s">
        <v>1908</v>
      </c>
      <c r="BB73" s="2">
        <v>0</v>
      </c>
      <c r="BC73" s="3" t="str">
        <f>HYPERLINK("https://patentscout.innography.com/share/m-XeMfkhDR3IdgLmFZFB_w%3D%3D","WO2022225101")</f>
        <v>WO2022225101</v>
      </c>
      <c r="BD73" s="2" t="s">
        <v>1909</v>
      </c>
      <c r="BE73" s="2" t="s">
        <v>879</v>
      </c>
      <c r="BF73" s="2" t="s">
        <v>1910</v>
      </c>
      <c r="BG73" s="2" t="str">
        <f>HYPERLINK("https://patentscout.innography.com/share/m-XeMfkhDR3IdgLmFZFB_w%3D%3D/download", "Download PDF")</f>
        <v>Download PDF</v>
      </c>
      <c r="BH73" s="2" t="s">
        <v>1911</v>
      </c>
      <c r="BI73" s="2"/>
      <c r="BJ73" s="2" t="s">
        <v>1912</v>
      </c>
      <c r="BK73" s="2" t="s">
        <v>1906</v>
      </c>
      <c r="BL73" s="2" t="s">
        <v>1906</v>
      </c>
      <c r="BM73" s="2"/>
      <c r="BN73" s="2"/>
      <c r="BO73" s="2"/>
      <c r="BP73" s="2"/>
      <c r="BQ73" s="2"/>
      <c r="BR73" s="2"/>
      <c r="BS73" s="2"/>
      <c r="BT73" s="2"/>
      <c r="BU73" s="2"/>
      <c r="BV73" s="2"/>
      <c r="BW73" s="2"/>
      <c r="BX73" s="2"/>
      <c r="BY73" s="2"/>
      <c r="BZ73" s="2"/>
      <c r="CA73" s="2"/>
      <c r="CB73" s="2"/>
      <c r="CC73" s="2" t="s">
        <v>635</v>
      </c>
      <c r="CD73" s="2" t="str">
        <f>HYPERLINK("https://patentscout.innography.com/share/m-XeMfkhDR3IdgLmFZFB_w%3D%3D", "Innography Link")</f>
        <v>Innography Link</v>
      </c>
      <c r="CE73" s="2"/>
      <c r="CF73" s="2"/>
      <c r="CG73" s="2"/>
      <c r="CH73" s="2"/>
      <c r="CI73" s="2"/>
      <c r="CK73" s="2" t="s">
        <v>1913</v>
      </c>
    </row>
    <row r="74" spans="1:94" ht="152" customHeight="1" x14ac:dyDescent="0.45">
      <c r="A74" s="2">
        <v>0</v>
      </c>
      <c r="B74" s="2">
        <v>3</v>
      </c>
      <c r="C74" s="2" t="s">
        <v>1914</v>
      </c>
      <c r="D74" s="2"/>
      <c r="E74" s="2"/>
      <c r="F74" s="2" t="s">
        <v>1915</v>
      </c>
      <c r="G74" s="2" t="s">
        <v>1915</v>
      </c>
      <c r="H74" s="2" t="s">
        <v>1916</v>
      </c>
      <c r="I74" s="2" t="s">
        <v>1916</v>
      </c>
      <c r="J74" s="2" t="s">
        <v>1917</v>
      </c>
      <c r="K74" s="2" t="s">
        <v>1915</v>
      </c>
      <c r="L74" s="2" t="s">
        <v>1915</v>
      </c>
      <c r="M74" s="2" t="s">
        <v>1918</v>
      </c>
      <c r="N74" s="2" t="s">
        <v>1919</v>
      </c>
      <c r="O74" s="2"/>
      <c r="P74" s="2"/>
      <c r="Q74" s="2"/>
      <c r="R74" s="2"/>
      <c r="S74" s="2"/>
      <c r="T74" s="2">
        <v>87</v>
      </c>
      <c r="U74" s="2">
        <v>5</v>
      </c>
      <c r="V74" s="2" t="s">
        <v>1920</v>
      </c>
      <c r="W74" s="2"/>
      <c r="X74" s="2"/>
      <c r="Y74" s="2"/>
      <c r="Z74" s="2" t="s">
        <v>1921</v>
      </c>
      <c r="AA74" s="2" t="s">
        <v>1922</v>
      </c>
      <c r="AB74" s="2">
        <v>5</v>
      </c>
      <c r="AC74" s="2" t="s">
        <v>235</v>
      </c>
      <c r="AD74" s="2"/>
      <c r="AE74" s="2">
        <v>245</v>
      </c>
      <c r="AF74" s="2" t="s">
        <v>141</v>
      </c>
      <c r="AG74" s="2"/>
      <c r="AH74" s="2"/>
      <c r="AI74" s="2"/>
      <c r="AJ74" s="2"/>
      <c r="AK74" s="2" t="s">
        <v>217</v>
      </c>
      <c r="AL74" s="2" t="s">
        <v>1923</v>
      </c>
      <c r="AM74" s="2" t="s">
        <v>1923</v>
      </c>
      <c r="AN74" s="2" t="s">
        <v>1924</v>
      </c>
      <c r="AO74" s="2" t="s">
        <v>1925</v>
      </c>
      <c r="AP74" s="2">
        <v>345423000</v>
      </c>
      <c r="AQ74" s="2">
        <v>345423000</v>
      </c>
      <c r="AR74" s="2" t="s">
        <v>253</v>
      </c>
      <c r="AS74" s="2">
        <v>84437054</v>
      </c>
      <c r="AT74" s="2" t="s">
        <v>1926</v>
      </c>
      <c r="AU74" s="2"/>
      <c r="AV74" s="2"/>
      <c r="AW74" s="2" t="s">
        <v>336</v>
      </c>
      <c r="AX74" s="2">
        <v>93049301</v>
      </c>
      <c r="AY74" s="2" t="s">
        <v>1927</v>
      </c>
      <c r="AZ74" s="2" t="s">
        <v>1928</v>
      </c>
      <c r="BA74" s="2" t="s">
        <v>1929</v>
      </c>
      <c r="BB74" s="2">
        <v>0</v>
      </c>
      <c r="BC74" s="3" t="str">
        <f>HYPERLINK("https://patentscout.innography.com/share/rrpGaQ8aUNd8OM9yGXLaFQ%3D%3D","KR102475520")</f>
        <v>KR102475520</v>
      </c>
      <c r="BD74" s="2" t="s">
        <v>1930</v>
      </c>
      <c r="BE74" s="2" t="s">
        <v>1931</v>
      </c>
      <c r="BF74" s="2" t="s">
        <v>1932</v>
      </c>
      <c r="BG74" s="2" t="str">
        <f>HYPERLINK("https://patentscout.innography.com/share/rrpGaQ8aUNd8OM9yGXLaFQ%3D%3D/download", "Download PDF")</f>
        <v>Download PDF</v>
      </c>
      <c r="BH74" s="2" t="s">
        <v>1933</v>
      </c>
      <c r="BI74" s="2"/>
      <c r="BJ74" s="2" t="s">
        <v>1934</v>
      </c>
      <c r="BK74" s="2" t="s">
        <v>1934</v>
      </c>
      <c r="BL74" s="2" t="s">
        <v>1934</v>
      </c>
      <c r="BM74" s="2"/>
      <c r="BN74" s="2"/>
      <c r="BO74" s="2"/>
      <c r="BP74" s="2"/>
      <c r="BQ74" s="2"/>
      <c r="BR74" s="2"/>
      <c r="BS74" s="2"/>
      <c r="BT74" s="2"/>
      <c r="BU74" s="2"/>
      <c r="BV74" s="2"/>
      <c r="BW74" s="2"/>
      <c r="BX74" s="2"/>
      <c r="BY74" s="2"/>
      <c r="BZ74" s="2"/>
      <c r="CA74" s="2"/>
      <c r="CB74" s="2"/>
      <c r="CC74" s="2" t="s">
        <v>243</v>
      </c>
      <c r="CD74" s="2" t="str">
        <f>HYPERLINK("https://patentscout.innography.com/share/rrpGaQ8aUNd8OM9yGXLaFQ%3D%3D", "Innography Link")</f>
        <v>Innography Link</v>
      </c>
      <c r="CE74" s="2"/>
      <c r="CF74" s="2"/>
      <c r="CG74" s="2"/>
      <c r="CH74" s="2"/>
      <c r="CI74" s="2"/>
      <c r="CK74" s="2" t="s">
        <v>1935</v>
      </c>
      <c r="CL74" s="2" t="s">
        <v>780</v>
      </c>
      <c r="CM74" s="2" t="s">
        <v>444</v>
      </c>
      <c r="CN74" s="2" t="s">
        <v>371</v>
      </c>
      <c r="CO74" s="2" t="s">
        <v>1936</v>
      </c>
    </row>
    <row r="75" spans="1:94" ht="152" customHeight="1" x14ac:dyDescent="0.45">
      <c r="A75" s="2">
        <v>1</v>
      </c>
      <c r="B75" s="2">
        <v>2</v>
      </c>
      <c r="C75" s="2" t="s">
        <v>1937</v>
      </c>
      <c r="D75" s="2" t="s">
        <v>1938</v>
      </c>
      <c r="E75" s="2" t="s">
        <v>1939</v>
      </c>
      <c r="F75" s="2" t="s">
        <v>1940</v>
      </c>
      <c r="G75" s="2" t="s">
        <v>1939</v>
      </c>
      <c r="H75" s="2" t="s">
        <v>1390</v>
      </c>
      <c r="I75" s="2" t="s">
        <v>1390</v>
      </c>
      <c r="J75" s="2" t="s">
        <v>1940</v>
      </c>
      <c r="K75" s="2" t="s">
        <v>1388</v>
      </c>
      <c r="L75" s="2" t="s">
        <v>1388</v>
      </c>
      <c r="M75" s="2" t="s">
        <v>1941</v>
      </c>
      <c r="N75" s="2" t="s">
        <v>1942</v>
      </c>
      <c r="O75" s="2"/>
      <c r="P75" s="2" t="s">
        <v>1103</v>
      </c>
      <c r="Q75" s="2" t="s">
        <v>382</v>
      </c>
      <c r="R75" s="2" t="s">
        <v>382</v>
      </c>
      <c r="S75" s="2" t="s">
        <v>1103</v>
      </c>
      <c r="T75" s="2">
        <v>87</v>
      </c>
      <c r="U75" s="2">
        <v>12</v>
      </c>
      <c r="V75" s="2" t="s">
        <v>1943</v>
      </c>
      <c r="W75" s="2"/>
      <c r="X75" s="2"/>
      <c r="Y75" s="2"/>
      <c r="Z75" s="2" t="s">
        <v>1944</v>
      </c>
      <c r="AA75" s="2" t="s">
        <v>1944</v>
      </c>
      <c r="AB75" s="2">
        <v>21</v>
      </c>
      <c r="AC75" s="2" t="s">
        <v>214</v>
      </c>
      <c r="AD75" s="2" t="s">
        <v>1945</v>
      </c>
      <c r="AE75" s="2">
        <v>123</v>
      </c>
      <c r="AF75" s="2" t="s">
        <v>180</v>
      </c>
      <c r="AG75" s="2"/>
      <c r="AH75" s="2"/>
      <c r="AI75" s="2" t="s">
        <v>1946</v>
      </c>
      <c r="AJ75" s="2"/>
      <c r="AK75" s="2" t="s">
        <v>1108</v>
      </c>
      <c r="AL75" s="2" t="s">
        <v>691</v>
      </c>
      <c r="AM75" s="2" t="s">
        <v>1404</v>
      </c>
      <c r="AN75" s="2" t="s">
        <v>1698</v>
      </c>
      <c r="AO75" s="2" t="s">
        <v>1699</v>
      </c>
      <c r="AP75" s="2">
        <v>705034000</v>
      </c>
      <c r="AQ75" s="2">
        <v>705034000</v>
      </c>
      <c r="AR75" s="2" t="s">
        <v>541</v>
      </c>
      <c r="AS75" s="2">
        <v>41054724</v>
      </c>
      <c r="AT75" s="2" t="s">
        <v>1407</v>
      </c>
      <c r="AU75" s="2"/>
      <c r="AV75" s="2"/>
      <c r="AW75" s="2" t="s">
        <v>1947</v>
      </c>
      <c r="AX75" s="2">
        <v>90000606</v>
      </c>
      <c r="AY75" s="2" t="s">
        <v>1410</v>
      </c>
      <c r="AZ75" s="2" t="s">
        <v>1948</v>
      </c>
      <c r="BA75" s="2" t="s">
        <v>1949</v>
      </c>
      <c r="BB75" s="2">
        <v>0</v>
      </c>
      <c r="BC75" s="3" t="str">
        <f>HYPERLINK("https://patentscout.innography.com/share/sf1jv84v_rF2UnZBZLTdfw%3D%3D","JP2009217387")</f>
        <v>JP2009217387</v>
      </c>
      <c r="BD75" s="2" t="s">
        <v>1950</v>
      </c>
      <c r="BE75" s="2" t="s">
        <v>1951</v>
      </c>
      <c r="BF75" s="2" t="s">
        <v>1952</v>
      </c>
      <c r="BG75" s="2" t="str">
        <f>HYPERLINK("https://patentscout.innography.com/share/sf1jv84v_rF2UnZBZLTdfw%3D%3D/download", "Download PDF")</f>
        <v>Download PDF</v>
      </c>
      <c r="BH75" s="2" t="s">
        <v>1953</v>
      </c>
      <c r="BI75" s="2"/>
      <c r="BJ75" s="2" t="s">
        <v>1416</v>
      </c>
      <c r="BK75" s="2" t="s">
        <v>1416</v>
      </c>
      <c r="BL75" s="2" t="s">
        <v>1416</v>
      </c>
      <c r="BM75" s="2"/>
      <c r="BN75" s="2"/>
      <c r="BO75" s="2"/>
      <c r="BP75" s="2"/>
      <c r="BQ75" s="2"/>
      <c r="BR75" s="2"/>
      <c r="BS75" s="2"/>
      <c r="BT75" s="2"/>
      <c r="BU75" s="2"/>
      <c r="BV75" s="2" t="s">
        <v>1954</v>
      </c>
      <c r="BW75" s="2"/>
      <c r="BX75" s="2"/>
      <c r="BY75" s="2"/>
      <c r="BZ75" s="2"/>
      <c r="CA75" s="2"/>
      <c r="CB75" s="2"/>
      <c r="CC75" s="2" t="s">
        <v>1120</v>
      </c>
      <c r="CD75" s="2" t="str">
        <f>HYPERLINK("https://patentscout.innography.com/share/sf1jv84v_rF2UnZBZLTdfw%3D%3D", "Innography Link")</f>
        <v>Innography Link</v>
      </c>
      <c r="CE75" s="2"/>
      <c r="CF75" s="2"/>
      <c r="CG75" s="2"/>
      <c r="CH75" s="2"/>
      <c r="CI75" s="2"/>
      <c r="CK75" s="2" t="s">
        <v>1955</v>
      </c>
      <c r="CL75" s="2" t="s">
        <v>1956</v>
      </c>
      <c r="CM75" s="2" t="s">
        <v>1957</v>
      </c>
      <c r="CN75" s="2" t="s">
        <v>1958</v>
      </c>
    </row>
    <row r="76" spans="1:94" ht="152" customHeight="1" x14ac:dyDescent="0.45">
      <c r="A76" s="2">
        <v>77</v>
      </c>
      <c r="B76" s="2">
        <v>0</v>
      </c>
      <c r="C76" s="2"/>
      <c r="D76" s="2" t="s">
        <v>1959</v>
      </c>
      <c r="E76" s="2" t="s">
        <v>1939</v>
      </c>
      <c r="F76" s="2" t="s">
        <v>1940</v>
      </c>
      <c r="G76" s="2" t="s">
        <v>1940</v>
      </c>
      <c r="H76" s="2" t="s">
        <v>1390</v>
      </c>
      <c r="I76" s="2" t="s">
        <v>1390</v>
      </c>
      <c r="J76" s="2" t="s">
        <v>1960</v>
      </c>
      <c r="K76" s="2" t="s">
        <v>1388</v>
      </c>
      <c r="L76" s="2" t="s">
        <v>1388</v>
      </c>
      <c r="M76" s="2" t="s">
        <v>1961</v>
      </c>
      <c r="N76" s="2" t="s">
        <v>1962</v>
      </c>
      <c r="O76" s="2"/>
      <c r="P76" s="2" t="s">
        <v>1103</v>
      </c>
      <c r="Q76" s="2" t="s">
        <v>382</v>
      </c>
      <c r="R76" s="2" t="s">
        <v>382</v>
      </c>
      <c r="S76" s="2" t="s">
        <v>1103</v>
      </c>
      <c r="T76" s="2">
        <v>87</v>
      </c>
      <c r="U76" s="2">
        <v>90</v>
      </c>
      <c r="V76" s="2" t="s">
        <v>1943</v>
      </c>
      <c r="W76" s="2"/>
      <c r="X76" s="2"/>
      <c r="Y76" s="2"/>
      <c r="Z76" s="2" t="s">
        <v>1963</v>
      </c>
      <c r="AA76" s="2" t="s">
        <v>1963</v>
      </c>
      <c r="AB76" s="2">
        <v>21</v>
      </c>
      <c r="AC76" s="2" t="s">
        <v>250</v>
      </c>
      <c r="AD76" s="2" t="s">
        <v>1402</v>
      </c>
      <c r="AE76" s="2">
        <v>123</v>
      </c>
      <c r="AF76" s="2" t="s">
        <v>141</v>
      </c>
      <c r="AG76" s="2"/>
      <c r="AH76" s="2"/>
      <c r="AI76" s="2" t="s">
        <v>1416</v>
      </c>
      <c r="AJ76" s="2"/>
      <c r="AK76" s="2" t="s">
        <v>1108</v>
      </c>
      <c r="AL76" s="2" t="s">
        <v>691</v>
      </c>
      <c r="AM76" s="2" t="s">
        <v>1404</v>
      </c>
      <c r="AN76" s="2" t="s">
        <v>539</v>
      </c>
      <c r="AO76" s="2" t="s">
        <v>1964</v>
      </c>
      <c r="AP76" s="2">
        <v>705348000</v>
      </c>
      <c r="AQ76" s="2">
        <v>705348000</v>
      </c>
      <c r="AR76" s="2" t="s">
        <v>236</v>
      </c>
      <c r="AS76" s="2">
        <v>41054724</v>
      </c>
      <c r="AT76" s="2" t="s">
        <v>1407</v>
      </c>
      <c r="AU76" s="2"/>
      <c r="AV76" s="2"/>
      <c r="AW76" s="2" t="s">
        <v>1965</v>
      </c>
      <c r="AX76" s="2">
        <v>90000606</v>
      </c>
      <c r="AY76" s="2" t="s">
        <v>1410</v>
      </c>
      <c r="AZ76" s="2" t="s">
        <v>1948</v>
      </c>
      <c r="BA76" s="2" t="s">
        <v>1966</v>
      </c>
      <c r="BB76" s="2">
        <v>0</v>
      </c>
      <c r="BC76" s="3" t="str">
        <f>HYPERLINK("https://patentscout.innography.com/share/sCHrs0shaIoQjYxCJTC-BQ%3D%3D","JP5159375")</f>
        <v>JP5159375</v>
      </c>
      <c r="BD76" s="2" t="s">
        <v>1967</v>
      </c>
      <c r="BE76" s="2" t="s">
        <v>1951</v>
      </c>
      <c r="BF76" s="2" t="s">
        <v>1968</v>
      </c>
      <c r="BG76" s="2" t="str">
        <f>HYPERLINK("https://patentscout.innography.com/share/sCHrs0shaIoQjYxCJTC-BQ%3D%3D/download", "Download PDF")</f>
        <v>Download PDF</v>
      </c>
      <c r="BH76" s="2" t="s">
        <v>1969</v>
      </c>
      <c r="BI76" s="2"/>
      <c r="BJ76" s="2" t="s">
        <v>1416</v>
      </c>
      <c r="BK76" s="2" t="s">
        <v>1416</v>
      </c>
      <c r="BL76" s="2" t="s">
        <v>1416</v>
      </c>
      <c r="BM76" s="2"/>
      <c r="BN76" s="2"/>
      <c r="BO76" s="2"/>
      <c r="BP76" s="2"/>
      <c r="BQ76" s="2"/>
      <c r="BR76" s="2"/>
      <c r="BS76" s="2"/>
      <c r="BT76" s="2"/>
      <c r="BU76" s="2"/>
      <c r="BV76" s="2" t="s">
        <v>1970</v>
      </c>
      <c r="BW76" s="2"/>
      <c r="BX76" s="2"/>
      <c r="BY76" s="2"/>
      <c r="BZ76" s="2"/>
      <c r="CA76" s="2"/>
      <c r="CB76" s="2"/>
      <c r="CC76" s="2" t="s">
        <v>1971</v>
      </c>
      <c r="CD76" s="2" t="str">
        <f>HYPERLINK("https://patentscout.innography.com/share/sCHrs0shaIoQjYxCJTC-BQ%3D%3D", "Innography Link")</f>
        <v>Innography Link</v>
      </c>
      <c r="CE76" s="2"/>
      <c r="CF76" s="2"/>
      <c r="CG76" s="2"/>
      <c r="CH76" s="2"/>
      <c r="CI76" s="2"/>
      <c r="CK76" s="2" t="s">
        <v>1955</v>
      </c>
      <c r="CL76" s="2" t="s">
        <v>1972</v>
      </c>
      <c r="CM76" s="2" t="s">
        <v>1957</v>
      </c>
      <c r="CN76" s="2" t="s">
        <v>1958</v>
      </c>
    </row>
    <row r="77" spans="1:94" ht="152" customHeight="1" x14ac:dyDescent="0.45">
      <c r="A77" s="2">
        <v>0</v>
      </c>
      <c r="B77" s="2">
        <v>5</v>
      </c>
      <c r="C77" s="2" t="s">
        <v>1973</v>
      </c>
      <c r="D77" s="2"/>
      <c r="E77" s="2"/>
      <c r="F77" s="2" t="s">
        <v>1974</v>
      </c>
      <c r="G77" s="2" t="s">
        <v>1974</v>
      </c>
      <c r="H77" s="2" t="s">
        <v>1975</v>
      </c>
      <c r="I77" s="2" t="s">
        <v>1975</v>
      </c>
      <c r="J77" s="2" t="s">
        <v>1976</v>
      </c>
      <c r="K77" s="2" t="s">
        <v>1974</v>
      </c>
      <c r="L77" s="2" t="s">
        <v>1974</v>
      </c>
      <c r="M77" s="2" t="s">
        <v>1977</v>
      </c>
      <c r="N77" s="2" t="s">
        <v>1978</v>
      </c>
      <c r="O77" s="2"/>
      <c r="P77" s="2" t="s">
        <v>1979</v>
      </c>
      <c r="Q77" s="2" t="s">
        <v>1980</v>
      </c>
      <c r="R77" s="2" t="s">
        <v>1981</v>
      </c>
      <c r="S77" s="2" t="s">
        <v>1979</v>
      </c>
      <c r="T77" s="2">
        <v>87</v>
      </c>
      <c r="U77" s="2">
        <v>6</v>
      </c>
      <c r="V77" s="2" t="s">
        <v>1982</v>
      </c>
      <c r="W77" s="2"/>
      <c r="X77" s="2"/>
      <c r="Y77" s="2"/>
      <c r="Z77" s="2" t="s">
        <v>1983</v>
      </c>
      <c r="AA77" s="2" t="s">
        <v>1984</v>
      </c>
      <c r="AB77" s="2">
        <v>7</v>
      </c>
      <c r="AC77" s="2" t="s">
        <v>235</v>
      </c>
      <c r="AD77" s="2" t="s">
        <v>1985</v>
      </c>
      <c r="AE77" s="2">
        <v>288</v>
      </c>
      <c r="AF77" s="2" t="s">
        <v>141</v>
      </c>
      <c r="AG77" s="2"/>
      <c r="AH77" s="2"/>
      <c r="AI77" s="2"/>
      <c r="AJ77" s="2"/>
      <c r="AK77" s="2" t="s">
        <v>217</v>
      </c>
      <c r="AL77" s="2" t="s">
        <v>298</v>
      </c>
      <c r="AM77" s="2" t="s">
        <v>298</v>
      </c>
      <c r="AN77" s="2" t="s">
        <v>359</v>
      </c>
      <c r="AO77" s="2" t="s">
        <v>1986</v>
      </c>
      <c r="AP77" s="2">
        <v>705348000</v>
      </c>
      <c r="AQ77" s="2">
        <v>705348000</v>
      </c>
      <c r="AR77" s="2" t="s">
        <v>253</v>
      </c>
      <c r="AS77" s="2">
        <v>82401585</v>
      </c>
      <c r="AT77" s="2" t="s">
        <v>1987</v>
      </c>
      <c r="AU77" s="2"/>
      <c r="AV77" s="2"/>
      <c r="AW77" s="2" t="s">
        <v>336</v>
      </c>
      <c r="AX77" s="2">
        <v>89049225</v>
      </c>
      <c r="AY77" s="2" t="s">
        <v>1988</v>
      </c>
      <c r="AZ77" s="2" t="s">
        <v>1989</v>
      </c>
      <c r="BA77" s="2" t="s">
        <v>1990</v>
      </c>
      <c r="BB77" s="2">
        <v>0</v>
      </c>
      <c r="BC77" s="3" t="str">
        <f>HYPERLINK("https://patentscout.innography.com/share/g3BcYoE_LyrvhzQSrmzK7A%3D%3D","KR102420379")</f>
        <v>KR102420379</v>
      </c>
      <c r="BD77" s="2" t="s">
        <v>1991</v>
      </c>
      <c r="BE77" s="2" t="s">
        <v>1992</v>
      </c>
      <c r="BF77" s="2" t="s">
        <v>1993</v>
      </c>
      <c r="BG77" s="2" t="str">
        <f>HYPERLINK("https://patentscout.innography.com/share/g3BcYoE_LyrvhzQSrmzK7A%3D%3D/download", "Download PDF")</f>
        <v>Download PDF</v>
      </c>
      <c r="BH77" s="2" t="s">
        <v>1994</v>
      </c>
      <c r="BI77" s="2"/>
      <c r="BJ77" s="2" t="s">
        <v>1995</v>
      </c>
      <c r="BK77" s="2" t="s">
        <v>1995</v>
      </c>
      <c r="BL77" s="2" t="s">
        <v>1995</v>
      </c>
      <c r="BM77" s="2"/>
      <c r="BN77" s="2"/>
      <c r="BO77" s="2"/>
      <c r="BP77" s="2"/>
      <c r="BQ77" s="2"/>
      <c r="BR77" s="2"/>
      <c r="BS77" s="2"/>
      <c r="BT77" s="2"/>
      <c r="BU77" s="2"/>
      <c r="BV77" s="2"/>
      <c r="BW77" s="2"/>
      <c r="BX77" s="2"/>
      <c r="BY77" s="2"/>
      <c r="BZ77" s="2"/>
      <c r="CA77" s="2"/>
      <c r="CB77" s="2"/>
      <c r="CC77" s="2" t="s">
        <v>243</v>
      </c>
      <c r="CD77" s="2" t="str">
        <f>HYPERLINK("https://patentscout.innography.com/share/g3BcYoE_LyrvhzQSrmzK7A%3D%3D", "Innography Link")</f>
        <v>Innography Link</v>
      </c>
      <c r="CE77" s="2"/>
      <c r="CF77" s="2"/>
      <c r="CG77" s="2"/>
      <c r="CH77" s="2"/>
      <c r="CI77" s="2"/>
      <c r="CK77" s="2" t="s">
        <v>1996</v>
      </c>
      <c r="CL77" s="2" t="s">
        <v>780</v>
      </c>
      <c r="CM77" s="2" t="s">
        <v>497</v>
      </c>
      <c r="CN77" s="2" t="s">
        <v>854</v>
      </c>
    </row>
    <row r="78" spans="1:94" ht="152" customHeight="1" x14ac:dyDescent="0.45">
      <c r="A78" s="2">
        <v>0</v>
      </c>
      <c r="B78" s="2">
        <v>1</v>
      </c>
      <c r="C78" s="2" t="s">
        <v>1997</v>
      </c>
      <c r="D78" s="2"/>
      <c r="E78" s="2" t="s">
        <v>1642</v>
      </c>
      <c r="F78" s="2"/>
      <c r="G78" s="2" t="s">
        <v>1642</v>
      </c>
      <c r="H78" s="2" t="s">
        <v>1998</v>
      </c>
      <c r="I78" s="2" t="s">
        <v>1999</v>
      </c>
      <c r="J78" s="2" t="s">
        <v>2000</v>
      </c>
      <c r="K78" s="2" t="s">
        <v>1642</v>
      </c>
      <c r="L78" s="2" t="s">
        <v>1642</v>
      </c>
      <c r="M78" s="2" t="s">
        <v>2001</v>
      </c>
      <c r="N78" s="2" t="s">
        <v>2002</v>
      </c>
      <c r="O78" s="2" t="s">
        <v>2003</v>
      </c>
      <c r="P78" s="2" t="s">
        <v>2004</v>
      </c>
      <c r="Q78" s="2" t="s">
        <v>2005</v>
      </c>
      <c r="R78" s="2" t="s">
        <v>2005</v>
      </c>
      <c r="S78" s="2" t="s">
        <v>2004</v>
      </c>
      <c r="T78" s="2">
        <v>87</v>
      </c>
      <c r="U78" s="2">
        <v>3</v>
      </c>
      <c r="V78" s="2" t="s">
        <v>2006</v>
      </c>
      <c r="W78" s="2"/>
      <c r="X78" s="2"/>
      <c r="Y78" s="2"/>
      <c r="Z78" s="2" t="s">
        <v>2007</v>
      </c>
      <c r="AA78" s="2" t="s">
        <v>2008</v>
      </c>
      <c r="AB78" s="2">
        <v>6</v>
      </c>
      <c r="AC78" s="2" t="s">
        <v>214</v>
      </c>
      <c r="AD78" s="2" t="s">
        <v>2009</v>
      </c>
      <c r="AE78" s="2">
        <v>112</v>
      </c>
      <c r="AF78" s="2" t="s">
        <v>141</v>
      </c>
      <c r="AG78" s="2"/>
      <c r="AH78" s="2"/>
      <c r="AI78" s="2"/>
      <c r="AJ78" s="2"/>
      <c r="AK78" s="2" t="s">
        <v>217</v>
      </c>
      <c r="AL78" s="2" t="s">
        <v>1510</v>
      </c>
      <c r="AM78" s="2" t="s">
        <v>2010</v>
      </c>
      <c r="AN78" s="2" t="s">
        <v>1511</v>
      </c>
      <c r="AO78" s="2" t="s">
        <v>2011</v>
      </c>
      <c r="AP78" s="2">
        <v>705348000</v>
      </c>
      <c r="AQ78" s="2">
        <v>705348000</v>
      </c>
      <c r="AR78" s="2" t="s">
        <v>253</v>
      </c>
      <c r="AS78" s="2">
        <v>83445233</v>
      </c>
      <c r="AT78" s="2" t="s">
        <v>2012</v>
      </c>
      <c r="AU78" s="2"/>
      <c r="AV78" s="2"/>
      <c r="AW78" s="2" t="s">
        <v>219</v>
      </c>
      <c r="AX78" s="2">
        <v>91256602</v>
      </c>
      <c r="AY78" s="2" t="s">
        <v>2013</v>
      </c>
      <c r="AZ78" s="2" t="s">
        <v>2014</v>
      </c>
      <c r="BA78" s="2" t="s">
        <v>2015</v>
      </c>
      <c r="BB78" s="2">
        <v>0</v>
      </c>
      <c r="BC78" s="3" t="str">
        <f>HYPERLINK("https://patentscout.innography.com/share/3QCFfdnzgNiHsOy1Z_HI7g%3D%3D","KR20220126660")</f>
        <v>KR20220126660</v>
      </c>
      <c r="BD78" s="2" t="s">
        <v>2016</v>
      </c>
      <c r="BE78" s="2"/>
      <c r="BF78" s="2" t="s">
        <v>2017</v>
      </c>
      <c r="BG78" s="2" t="str">
        <f>HYPERLINK("https://patentscout.innography.com/share/3QCFfdnzgNiHsOy1Z_HI7g%3D%3D/download", "Download PDF")</f>
        <v>Download PDF</v>
      </c>
      <c r="BH78" s="2" t="s">
        <v>2018</v>
      </c>
      <c r="BI78" s="2"/>
      <c r="BJ78" s="2" t="s">
        <v>2013</v>
      </c>
      <c r="BK78" s="2" t="s">
        <v>2013</v>
      </c>
      <c r="BL78" s="2" t="s">
        <v>2013</v>
      </c>
      <c r="BM78" s="2"/>
      <c r="BN78" s="2"/>
      <c r="BO78" s="2"/>
      <c r="BP78" s="2"/>
      <c r="BQ78" s="2"/>
      <c r="BR78" s="2"/>
      <c r="BS78" s="2"/>
      <c r="BT78" s="2"/>
      <c r="BU78" s="2"/>
      <c r="BV78" s="2"/>
      <c r="BW78" s="2"/>
      <c r="BX78" s="2"/>
      <c r="BY78" s="2"/>
      <c r="BZ78" s="2"/>
      <c r="CA78" s="2"/>
      <c r="CB78" s="2"/>
      <c r="CC78" s="2" t="s">
        <v>228</v>
      </c>
      <c r="CD78" s="2" t="str">
        <f>HYPERLINK("https://patentscout.innography.com/share/3QCFfdnzgNiHsOy1Z_HI7g%3D%3D", "Innography Link")</f>
        <v>Innography Link</v>
      </c>
      <c r="CE78" s="2"/>
      <c r="CF78" s="2"/>
      <c r="CG78" s="2"/>
      <c r="CH78" s="2"/>
      <c r="CI78" s="2"/>
      <c r="CK78" s="2" t="s">
        <v>2019</v>
      </c>
      <c r="CL78" s="2" t="s">
        <v>2020</v>
      </c>
    </row>
    <row r="79" spans="1:94" ht="152" customHeight="1" x14ac:dyDescent="0.45">
      <c r="A79" s="2">
        <v>9</v>
      </c>
      <c r="B79" s="2">
        <v>22</v>
      </c>
      <c r="C79" s="2" t="s">
        <v>2021</v>
      </c>
      <c r="D79" s="2" t="s">
        <v>2022</v>
      </c>
      <c r="E79" s="2" t="s">
        <v>1388</v>
      </c>
      <c r="F79" s="2" t="s">
        <v>1389</v>
      </c>
      <c r="G79" s="2" t="s">
        <v>1388</v>
      </c>
      <c r="H79" s="2" t="s">
        <v>1390</v>
      </c>
      <c r="I79" s="2" t="s">
        <v>1391</v>
      </c>
      <c r="J79" s="2" t="s">
        <v>1389</v>
      </c>
      <c r="K79" s="2" t="s">
        <v>1388</v>
      </c>
      <c r="L79" s="2" t="s">
        <v>1388</v>
      </c>
      <c r="M79" s="2" t="s">
        <v>2023</v>
      </c>
      <c r="N79" s="2" t="s">
        <v>1394</v>
      </c>
      <c r="O79" s="2"/>
      <c r="P79" s="2" t="s">
        <v>1395</v>
      </c>
      <c r="Q79" s="2" t="s">
        <v>1396</v>
      </c>
      <c r="R79" s="2" t="s">
        <v>1397</v>
      </c>
      <c r="S79" s="2" t="s">
        <v>2024</v>
      </c>
      <c r="T79" s="2">
        <v>87</v>
      </c>
      <c r="U79" s="2">
        <v>54</v>
      </c>
      <c r="V79" s="2" t="s">
        <v>1398</v>
      </c>
      <c r="W79" s="2" t="s">
        <v>1399</v>
      </c>
      <c r="X79" s="2">
        <v>2419</v>
      </c>
      <c r="Y79" s="2"/>
      <c r="Z79" s="2" t="s">
        <v>2025</v>
      </c>
      <c r="AA79" s="2" t="s">
        <v>2026</v>
      </c>
      <c r="AB79" s="2">
        <v>21</v>
      </c>
      <c r="AC79" s="2" t="s">
        <v>139</v>
      </c>
      <c r="AD79" s="2" t="s">
        <v>1402</v>
      </c>
      <c r="AE79" s="2">
        <v>137</v>
      </c>
      <c r="AF79" s="2" t="s">
        <v>180</v>
      </c>
      <c r="AG79" s="2"/>
      <c r="AH79" s="2"/>
      <c r="AI79" s="2" t="s">
        <v>2027</v>
      </c>
      <c r="AJ79" s="2"/>
      <c r="AK79" s="2" t="s">
        <v>142</v>
      </c>
      <c r="AL79" s="2" t="s">
        <v>691</v>
      </c>
      <c r="AM79" s="2" t="s">
        <v>1404</v>
      </c>
      <c r="AN79" s="2" t="s">
        <v>218</v>
      </c>
      <c r="AO79" s="2" t="s">
        <v>2028</v>
      </c>
      <c r="AP79" s="2">
        <v>709203000</v>
      </c>
      <c r="AQ79" s="2" t="s">
        <v>2029</v>
      </c>
      <c r="AR79" s="2" t="s">
        <v>185</v>
      </c>
      <c r="AS79" s="2">
        <v>41054724</v>
      </c>
      <c r="AT79" s="2" t="s">
        <v>1407</v>
      </c>
      <c r="AU79" s="2" t="s">
        <v>1398</v>
      </c>
      <c r="AV79" s="2" t="s">
        <v>1408</v>
      </c>
      <c r="AW79" s="2" t="s">
        <v>303</v>
      </c>
      <c r="AX79" s="2">
        <v>90000606</v>
      </c>
      <c r="AY79" s="2" t="s">
        <v>1410</v>
      </c>
      <c r="AZ79" s="2" t="s">
        <v>1411</v>
      </c>
      <c r="BA79" s="2" t="s">
        <v>2030</v>
      </c>
      <c r="BB79" s="2">
        <v>0</v>
      </c>
      <c r="BC79" s="3" t="str">
        <f>HYPERLINK("https://patentscout.innography.com/share/Zt9jsnLCX-ocbvpTRUyWoA%3D%3D","US20090228550")</f>
        <v>US20090228550</v>
      </c>
      <c r="BD79" s="2" t="s">
        <v>2031</v>
      </c>
      <c r="BE79" s="2" t="s">
        <v>1413</v>
      </c>
      <c r="BF79" s="2" t="s">
        <v>2032</v>
      </c>
      <c r="BG79" s="2" t="str">
        <f>HYPERLINK("https://patentscout.innography.com/share/Zt9jsnLCX-ocbvpTRUyWoA%3D%3D/download", "Download PDF")</f>
        <v>Download PDF</v>
      </c>
      <c r="BH79" s="2" t="s">
        <v>2033</v>
      </c>
      <c r="BI79" s="2"/>
      <c r="BJ79" s="2" t="s">
        <v>1403</v>
      </c>
      <c r="BK79" s="2" t="s">
        <v>1416</v>
      </c>
      <c r="BL79" s="2" t="s">
        <v>1416</v>
      </c>
      <c r="BM79" s="2" t="s">
        <v>313</v>
      </c>
      <c r="BN79" s="2"/>
      <c r="BO79" s="2" t="s">
        <v>1417</v>
      </c>
      <c r="BP79" s="2"/>
      <c r="BQ79" s="2"/>
      <c r="BR79" s="2" t="s">
        <v>1418</v>
      </c>
      <c r="BS79" s="2" t="s">
        <v>1419</v>
      </c>
      <c r="BT79" s="2" t="s">
        <v>1420</v>
      </c>
      <c r="BU79" s="2"/>
      <c r="BV79" s="2" t="s">
        <v>1421</v>
      </c>
      <c r="BW79" s="2" t="s">
        <v>318</v>
      </c>
      <c r="BX79" s="2"/>
      <c r="BY79" s="2"/>
      <c r="BZ79" s="2"/>
      <c r="CA79" s="2"/>
      <c r="CB79" s="2"/>
      <c r="CC79" s="2" t="s">
        <v>158</v>
      </c>
      <c r="CD79" s="2" t="str">
        <f>HYPERLINK("https://patentscout.innography.com/share/Zt9jsnLCX-ocbvpTRUyWoA%3D%3D", "Innography Link")</f>
        <v>Innography Link</v>
      </c>
      <c r="CE79" s="2"/>
      <c r="CF79" s="2"/>
      <c r="CG79" s="2"/>
      <c r="CH79" s="2"/>
      <c r="CI79" s="2"/>
      <c r="CK79" s="2" t="s">
        <v>2034</v>
      </c>
      <c r="CL79" s="2" t="s">
        <v>2035</v>
      </c>
      <c r="CM79" s="2" t="s">
        <v>2036</v>
      </c>
    </row>
    <row r="80" spans="1:94" ht="152" customHeight="1" x14ac:dyDescent="0.45">
      <c r="A80" s="2">
        <v>0</v>
      </c>
      <c r="B80" s="2">
        <v>3</v>
      </c>
      <c r="C80" s="2" t="s">
        <v>2037</v>
      </c>
      <c r="D80" s="2"/>
      <c r="E80" s="2"/>
      <c r="F80" s="2" t="s">
        <v>2038</v>
      </c>
      <c r="G80" s="2" t="s">
        <v>2038</v>
      </c>
      <c r="H80" s="2" t="s">
        <v>1845</v>
      </c>
      <c r="I80" s="2" t="s">
        <v>1845</v>
      </c>
      <c r="J80" s="2" t="s">
        <v>1846</v>
      </c>
      <c r="K80" s="2" t="s">
        <v>2038</v>
      </c>
      <c r="L80" s="2" t="s">
        <v>2038</v>
      </c>
      <c r="M80" s="2" t="s">
        <v>2039</v>
      </c>
      <c r="N80" s="2" t="s">
        <v>2040</v>
      </c>
      <c r="O80" s="2" t="s">
        <v>2041</v>
      </c>
      <c r="P80" s="2" t="s">
        <v>2042</v>
      </c>
      <c r="Q80" s="2" t="s">
        <v>2042</v>
      </c>
      <c r="R80" s="2" t="s">
        <v>2043</v>
      </c>
      <c r="S80" s="2" t="s">
        <v>2042</v>
      </c>
      <c r="T80" s="2">
        <v>87</v>
      </c>
      <c r="U80" s="2">
        <v>5</v>
      </c>
      <c r="V80" s="2" t="s">
        <v>2044</v>
      </c>
      <c r="W80" s="2"/>
      <c r="X80" s="2"/>
      <c r="Y80" s="2"/>
      <c r="Z80" s="2" t="s">
        <v>2045</v>
      </c>
      <c r="AA80" s="2" t="s">
        <v>2046</v>
      </c>
      <c r="AB80" s="2">
        <v>10</v>
      </c>
      <c r="AC80" s="2" t="s">
        <v>235</v>
      </c>
      <c r="AD80" s="2" t="s">
        <v>2047</v>
      </c>
      <c r="AE80" s="2">
        <v>309</v>
      </c>
      <c r="AF80" s="2" t="s">
        <v>141</v>
      </c>
      <c r="AG80" s="2"/>
      <c r="AH80" s="2"/>
      <c r="AI80" s="2"/>
      <c r="AJ80" s="2"/>
      <c r="AK80" s="2" t="s">
        <v>217</v>
      </c>
      <c r="AL80" s="2" t="s">
        <v>1065</v>
      </c>
      <c r="AM80" s="2" t="s">
        <v>1065</v>
      </c>
      <c r="AN80" s="2" t="s">
        <v>1066</v>
      </c>
      <c r="AO80" s="2" t="s">
        <v>2048</v>
      </c>
      <c r="AP80" s="2">
        <v>705348000</v>
      </c>
      <c r="AQ80" s="2">
        <v>705348000</v>
      </c>
      <c r="AR80" s="2" t="s">
        <v>253</v>
      </c>
      <c r="AS80" s="2">
        <v>83810062</v>
      </c>
      <c r="AT80" s="2" t="s">
        <v>2049</v>
      </c>
      <c r="AU80" s="2"/>
      <c r="AV80" s="2"/>
      <c r="AW80" s="2" t="s">
        <v>336</v>
      </c>
      <c r="AX80" s="2">
        <v>92242862</v>
      </c>
      <c r="AY80" s="2" t="s">
        <v>2050</v>
      </c>
      <c r="AZ80" s="2" t="s">
        <v>2051</v>
      </c>
      <c r="BA80" s="2" t="s">
        <v>1858</v>
      </c>
      <c r="BB80" s="2">
        <v>0</v>
      </c>
      <c r="BC80" s="3" t="str">
        <f>HYPERLINK("https://patentscout.innography.com/share/jTIumUjwd66evrV7Luq3NA%3D%3D","KR102455172")</f>
        <v>KR102455172</v>
      </c>
      <c r="BD80" s="2" t="s">
        <v>2052</v>
      </c>
      <c r="BE80" s="2" t="s">
        <v>2053</v>
      </c>
      <c r="BF80" s="2" t="s">
        <v>2054</v>
      </c>
      <c r="BG80" s="2" t="str">
        <f>HYPERLINK("https://patentscout.innography.com/share/jTIumUjwd66evrV7Luq3NA%3D%3D/download", "Download PDF")</f>
        <v>Download PDF</v>
      </c>
      <c r="BH80" s="2" t="s">
        <v>2055</v>
      </c>
      <c r="BI80" s="2"/>
      <c r="BJ80" s="2" t="s">
        <v>2056</v>
      </c>
      <c r="BK80" s="2" t="s">
        <v>2056</v>
      </c>
      <c r="BL80" s="2" t="s">
        <v>2056</v>
      </c>
      <c r="BM80" s="2"/>
      <c r="BN80" s="2"/>
      <c r="BO80" s="2"/>
      <c r="BP80" s="2"/>
      <c r="BQ80" s="2"/>
      <c r="BR80" s="2"/>
      <c r="BS80" s="2"/>
      <c r="BT80" s="2"/>
      <c r="BU80" s="2"/>
      <c r="BV80" s="2"/>
      <c r="BW80" s="2"/>
      <c r="BX80" s="2"/>
      <c r="BY80" s="2"/>
      <c r="BZ80" s="2"/>
      <c r="CA80" s="2"/>
      <c r="CB80" s="2"/>
      <c r="CC80" s="2" t="s">
        <v>243</v>
      </c>
      <c r="CD80" s="2" t="str">
        <f>HYPERLINK("https://patentscout.innography.com/share/jTIumUjwd66evrV7Luq3NA%3D%3D", "Innography Link")</f>
        <v>Innography Link</v>
      </c>
      <c r="CE80" s="2"/>
      <c r="CF80" s="2"/>
      <c r="CG80" s="2"/>
      <c r="CH80" s="2"/>
      <c r="CI80" s="2"/>
      <c r="CK80" s="2" t="s">
        <v>2057</v>
      </c>
      <c r="CL80" s="2" t="s">
        <v>371</v>
      </c>
      <c r="CM80" s="2" t="s">
        <v>497</v>
      </c>
      <c r="CN80" s="2" t="s">
        <v>2058</v>
      </c>
    </row>
    <row r="81" spans="1:95" ht="152" customHeight="1" x14ac:dyDescent="0.45">
      <c r="A81" s="2">
        <v>0</v>
      </c>
      <c r="B81" s="2">
        <v>3</v>
      </c>
      <c r="C81" s="2" t="s">
        <v>2059</v>
      </c>
      <c r="D81" s="2"/>
      <c r="E81" s="2"/>
      <c r="F81" s="2" t="s">
        <v>2060</v>
      </c>
      <c r="G81" s="2" t="s">
        <v>2060</v>
      </c>
      <c r="H81" s="2" t="s">
        <v>2061</v>
      </c>
      <c r="I81" s="2" t="s">
        <v>2061</v>
      </c>
      <c r="J81" s="2" t="s">
        <v>2062</v>
      </c>
      <c r="K81" s="2" t="s">
        <v>2060</v>
      </c>
      <c r="L81" s="2" t="s">
        <v>2060</v>
      </c>
      <c r="M81" s="2" t="s">
        <v>2063</v>
      </c>
      <c r="N81" s="2" t="s">
        <v>2064</v>
      </c>
      <c r="O81" s="2"/>
      <c r="P81" s="2" t="s">
        <v>2065</v>
      </c>
      <c r="Q81" s="2"/>
      <c r="R81" s="2"/>
      <c r="S81" s="2" t="s">
        <v>2065</v>
      </c>
      <c r="T81" s="2">
        <v>87</v>
      </c>
      <c r="U81" s="2">
        <v>3</v>
      </c>
      <c r="V81" s="2" t="s">
        <v>2066</v>
      </c>
      <c r="W81" s="2"/>
      <c r="X81" s="2"/>
      <c r="Y81" s="2"/>
      <c r="Z81" s="2" t="s">
        <v>2067</v>
      </c>
      <c r="AA81" s="2" t="s">
        <v>2068</v>
      </c>
      <c r="AB81" s="2">
        <v>4</v>
      </c>
      <c r="AC81" s="2" t="s">
        <v>235</v>
      </c>
      <c r="AD81" s="2" t="s">
        <v>2065</v>
      </c>
      <c r="AE81" s="2">
        <v>466</v>
      </c>
      <c r="AF81" s="2" t="s">
        <v>141</v>
      </c>
      <c r="AG81" s="2"/>
      <c r="AH81" s="2"/>
      <c r="AI81" s="2"/>
      <c r="AJ81" s="2"/>
      <c r="AK81" s="2" t="s">
        <v>217</v>
      </c>
      <c r="AL81" s="2" t="s">
        <v>1180</v>
      </c>
      <c r="AM81" s="2" t="s">
        <v>1180</v>
      </c>
      <c r="AN81" s="2" t="s">
        <v>1012</v>
      </c>
      <c r="AO81" s="2" t="s">
        <v>2069</v>
      </c>
      <c r="AP81" s="2"/>
      <c r="AQ81" s="2"/>
      <c r="AR81" s="2" t="s">
        <v>253</v>
      </c>
      <c r="AS81" s="2">
        <v>83061595</v>
      </c>
      <c r="AT81" s="2" t="s">
        <v>2070</v>
      </c>
      <c r="AU81" s="2"/>
      <c r="AV81" s="2"/>
      <c r="AW81" s="2" t="s">
        <v>821</v>
      </c>
      <c r="AX81" s="2">
        <v>90038224</v>
      </c>
      <c r="AY81" s="2" t="s">
        <v>2071</v>
      </c>
      <c r="AZ81" s="2" t="s">
        <v>2072</v>
      </c>
      <c r="BA81" s="2" t="s">
        <v>2073</v>
      </c>
      <c r="BB81" s="2">
        <v>0</v>
      </c>
      <c r="BC81" s="3" t="str">
        <f>HYPERLINK("https://patentscout.innography.com/share/7r8TnP2K0fPJGnW80CqzzA%3D%3D","KR102438836")</f>
        <v>KR102438836</v>
      </c>
      <c r="BD81" s="2" t="s">
        <v>2074</v>
      </c>
      <c r="BE81" s="2" t="s">
        <v>2075</v>
      </c>
      <c r="BF81" s="2" t="s">
        <v>2076</v>
      </c>
      <c r="BG81" s="2" t="str">
        <f>HYPERLINK("https://patentscout.innography.com/share/7r8TnP2K0fPJGnW80CqzzA%3D%3D/download", "Download PDF")</f>
        <v>Download PDF</v>
      </c>
      <c r="BH81" s="2" t="s">
        <v>2077</v>
      </c>
      <c r="BI81" s="2"/>
      <c r="BJ81" s="2" t="s">
        <v>2078</v>
      </c>
      <c r="BK81" s="2" t="s">
        <v>2078</v>
      </c>
      <c r="BL81" s="2" t="s">
        <v>2078</v>
      </c>
      <c r="BM81" s="2"/>
      <c r="BN81" s="2"/>
      <c r="BO81" s="2"/>
      <c r="BP81" s="2"/>
      <c r="BQ81" s="2"/>
      <c r="BR81" s="2"/>
      <c r="BS81" s="2"/>
      <c r="BT81" s="2"/>
      <c r="BU81" s="2"/>
      <c r="BV81" s="2"/>
      <c r="BW81" s="2"/>
      <c r="BX81" s="2"/>
      <c r="BY81" s="2"/>
      <c r="BZ81" s="2"/>
      <c r="CA81" s="2"/>
      <c r="CB81" s="2"/>
      <c r="CC81" s="2" t="s">
        <v>243</v>
      </c>
      <c r="CD81" s="2" t="str">
        <f>HYPERLINK("https://patentscout.innography.com/share/7r8TnP2K0fPJGnW80CqzzA%3D%3D", "Innography Link")</f>
        <v>Innography Link</v>
      </c>
      <c r="CE81" s="2"/>
      <c r="CF81" s="2"/>
      <c r="CG81" s="2"/>
      <c r="CH81" s="2"/>
      <c r="CI81" s="2"/>
      <c r="CK81" s="2" t="s">
        <v>2079</v>
      </c>
      <c r="CL81" s="2" t="s">
        <v>780</v>
      </c>
    </row>
    <row r="82" spans="1:95" ht="152" customHeight="1" x14ac:dyDescent="0.45">
      <c r="A82" s="2">
        <v>0</v>
      </c>
      <c r="B82" s="2">
        <v>0</v>
      </c>
      <c r="C82" s="2"/>
      <c r="D82" s="2"/>
      <c r="E82" s="2" t="s">
        <v>2080</v>
      </c>
      <c r="F82" s="2"/>
      <c r="G82" s="2" t="s">
        <v>2080</v>
      </c>
      <c r="H82" s="2" t="s">
        <v>2081</v>
      </c>
      <c r="I82" s="2" t="s">
        <v>2081</v>
      </c>
      <c r="J82" s="2" t="s">
        <v>2082</v>
      </c>
      <c r="K82" s="2" t="s">
        <v>2080</v>
      </c>
      <c r="L82" s="2" t="s">
        <v>2080</v>
      </c>
      <c r="M82" s="2" t="s">
        <v>2083</v>
      </c>
      <c r="N82" s="2" t="s">
        <v>2084</v>
      </c>
      <c r="O82" s="2" t="s">
        <v>2085</v>
      </c>
      <c r="P82" s="2" t="s">
        <v>2086</v>
      </c>
      <c r="Q82" s="2"/>
      <c r="R82" s="2"/>
      <c r="S82" s="2" t="s">
        <v>2086</v>
      </c>
      <c r="T82" s="2">
        <v>87</v>
      </c>
      <c r="U82" s="2">
        <v>3</v>
      </c>
      <c r="V82" s="2" t="s">
        <v>2087</v>
      </c>
      <c r="W82" s="2"/>
      <c r="X82" s="2"/>
      <c r="Y82" s="2"/>
      <c r="Z82" s="2" t="s">
        <v>2088</v>
      </c>
      <c r="AA82" s="2" t="s">
        <v>2088</v>
      </c>
      <c r="AB82" s="2">
        <v>1</v>
      </c>
      <c r="AC82" s="2" t="s">
        <v>214</v>
      </c>
      <c r="AD82" s="2" t="s">
        <v>2086</v>
      </c>
      <c r="AE82" s="2">
        <v>107</v>
      </c>
      <c r="AF82" s="2" t="s">
        <v>141</v>
      </c>
      <c r="AG82" s="2"/>
      <c r="AH82" s="2"/>
      <c r="AI82" s="2"/>
      <c r="AJ82" s="2"/>
      <c r="AK82" s="2" t="s">
        <v>217</v>
      </c>
      <c r="AL82" s="2" t="s">
        <v>2089</v>
      </c>
      <c r="AM82" s="2" t="s">
        <v>2090</v>
      </c>
      <c r="AN82" s="2" t="s">
        <v>539</v>
      </c>
      <c r="AO82" s="2" t="s">
        <v>2091</v>
      </c>
      <c r="AP82" s="2">
        <v>705348000</v>
      </c>
      <c r="AQ82" s="2">
        <v>705348000</v>
      </c>
      <c r="AR82" s="2" t="s">
        <v>253</v>
      </c>
      <c r="AS82" s="2">
        <v>79165678</v>
      </c>
      <c r="AT82" s="2" t="s">
        <v>2092</v>
      </c>
      <c r="AU82" s="2"/>
      <c r="AV82" s="2"/>
      <c r="AW82" s="2" t="s">
        <v>219</v>
      </c>
      <c r="AX82" s="2">
        <v>83959160</v>
      </c>
      <c r="AY82" s="2" t="s">
        <v>2093</v>
      </c>
      <c r="AZ82" s="2" t="s">
        <v>2094</v>
      </c>
      <c r="BA82" s="2" t="s">
        <v>2095</v>
      </c>
      <c r="BB82" s="2">
        <v>0</v>
      </c>
      <c r="BC82" s="3" t="str">
        <f>HYPERLINK("https://patentscout.innography.com/share/5KS3Z_0PjMjkxRFC-hqLtQ%3D%3D","KR20210154923")</f>
        <v>KR20210154923</v>
      </c>
      <c r="BD82" s="2" t="s">
        <v>2096</v>
      </c>
      <c r="BE82" s="2"/>
      <c r="BF82" s="2" t="s">
        <v>2097</v>
      </c>
      <c r="BG82" s="2" t="str">
        <f>HYPERLINK("https://patentscout.innography.com/share/5KS3Z_0PjMjkxRFC-hqLtQ%3D%3D/download", "Download PDF")</f>
        <v>Download PDF</v>
      </c>
      <c r="BH82" s="2" t="s">
        <v>2098</v>
      </c>
      <c r="BI82" s="2"/>
      <c r="BJ82" s="2" t="s">
        <v>2093</v>
      </c>
      <c r="BK82" s="2" t="s">
        <v>2093</v>
      </c>
      <c r="BL82" s="2" t="s">
        <v>2093</v>
      </c>
      <c r="BM82" s="2"/>
      <c r="BN82" s="2"/>
      <c r="BO82" s="2"/>
      <c r="BP82" s="2"/>
      <c r="BQ82" s="2"/>
      <c r="BR82" s="2"/>
      <c r="BS82" s="2"/>
      <c r="BT82" s="2"/>
      <c r="BU82" s="2"/>
      <c r="BV82" s="2"/>
      <c r="BW82" s="2"/>
      <c r="BX82" s="2"/>
      <c r="BY82" s="2"/>
      <c r="BZ82" s="2"/>
      <c r="CA82" s="2"/>
      <c r="CB82" s="2"/>
      <c r="CC82" s="2" t="s">
        <v>228</v>
      </c>
      <c r="CD82" s="2" t="str">
        <f>HYPERLINK("https://patentscout.innography.com/share/5KS3Z_0PjMjkxRFC-hqLtQ%3D%3D", "Innography Link")</f>
        <v>Innography Link</v>
      </c>
      <c r="CE82" s="2"/>
      <c r="CF82" s="2"/>
      <c r="CG82" s="2"/>
      <c r="CH82" s="2"/>
      <c r="CI82" s="2"/>
      <c r="CK82" s="2" t="s">
        <v>2099</v>
      </c>
    </row>
    <row r="83" spans="1:95" ht="152" customHeight="1" x14ac:dyDescent="0.45">
      <c r="A83" s="2">
        <v>1</v>
      </c>
      <c r="B83" s="2">
        <v>4</v>
      </c>
      <c r="C83" s="2" t="s">
        <v>2100</v>
      </c>
      <c r="D83" s="2" t="s">
        <v>2050</v>
      </c>
      <c r="E83" s="2"/>
      <c r="F83" s="2" t="s">
        <v>2101</v>
      </c>
      <c r="G83" s="2" t="s">
        <v>2101</v>
      </c>
      <c r="H83" s="2" t="s">
        <v>809</v>
      </c>
      <c r="I83" s="2" t="s">
        <v>809</v>
      </c>
      <c r="J83" s="2" t="s">
        <v>810</v>
      </c>
      <c r="K83" s="2" t="s">
        <v>2101</v>
      </c>
      <c r="L83" s="2" t="s">
        <v>2101</v>
      </c>
      <c r="M83" s="2" t="s">
        <v>2102</v>
      </c>
      <c r="N83" s="2" t="s">
        <v>2103</v>
      </c>
      <c r="O83" s="2"/>
      <c r="P83" s="2" t="s">
        <v>2104</v>
      </c>
      <c r="Q83" s="2" t="s">
        <v>2104</v>
      </c>
      <c r="R83" s="2" t="s">
        <v>2105</v>
      </c>
      <c r="S83" s="2" t="s">
        <v>2104</v>
      </c>
      <c r="T83" s="2">
        <v>87</v>
      </c>
      <c r="U83" s="2">
        <v>53</v>
      </c>
      <c r="V83" s="2" t="s">
        <v>2106</v>
      </c>
      <c r="W83" s="2"/>
      <c r="X83" s="2"/>
      <c r="Y83" s="2"/>
      <c r="Z83" s="2" t="s">
        <v>2107</v>
      </c>
      <c r="AA83" s="2" t="s">
        <v>2108</v>
      </c>
      <c r="AB83" s="2">
        <v>5</v>
      </c>
      <c r="AC83" s="2" t="s">
        <v>235</v>
      </c>
      <c r="AD83" s="2" t="s">
        <v>2109</v>
      </c>
      <c r="AE83" s="2">
        <v>165</v>
      </c>
      <c r="AF83" s="2" t="s">
        <v>141</v>
      </c>
      <c r="AG83" s="2"/>
      <c r="AH83" s="2"/>
      <c r="AI83" s="2"/>
      <c r="AJ83" s="2"/>
      <c r="AK83" s="2" t="s">
        <v>217</v>
      </c>
      <c r="AL83" s="2" t="s">
        <v>298</v>
      </c>
      <c r="AM83" s="2" t="s">
        <v>298</v>
      </c>
      <c r="AN83" s="2" t="s">
        <v>359</v>
      </c>
      <c r="AO83" s="2" t="s">
        <v>2110</v>
      </c>
      <c r="AP83" s="2">
        <v>705348000</v>
      </c>
      <c r="AQ83" s="2">
        <v>705348000</v>
      </c>
      <c r="AR83" s="2" t="s">
        <v>185</v>
      </c>
      <c r="AS83" s="2">
        <v>82216246</v>
      </c>
      <c r="AT83" s="2" t="s">
        <v>2111</v>
      </c>
      <c r="AU83" s="2"/>
      <c r="AV83" s="2"/>
      <c r="AW83" s="2" t="s">
        <v>336</v>
      </c>
      <c r="AX83" s="2">
        <v>88821460</v>
      </c>
      <c r="AY83" s="2" t="s">
        <v>2112</v>
      </c>
      <c r="AZ83" s="2" t="s">
        <v>2113</v>
      </c>
      <c r="BA83" s="2" t="s">
        <v>824</v>
      </c>
      <c r="BB83" s="2">
        <v>0</v>
      </c>
      <c r="BC83" s="3" t="str">
        <f>HYPERLINK("https://patentscout.innography.com/share/Ur46zagn4CsOtw-bPh9gtQ%3D%3D","KR102412142")</f>
        <v>KR102412142</v>
      </c>
      <c r="BD83" s="2" t="s">
        <v>2114</v>
      </c>
      <c r="BE83" s="2" t="s">
        <v>2115</v>
      </c>
      <c r="BF83" s="2" t="s">
        <v>2116</v>
      </c>
      <c r="BG83" s="2" t="str">
        <f>HYPERLINK("https://patentscout.innography.com/share/Ur46zagn4CsOtw-bPh9gtQ%3D%3D/download", "Download PDF")</f>
        <v>Download PDF</v>
      </c>
      <c r="BH83" s="2" t="s">
        <v>2117</v>
      </c>
      <c r="BI83" s="2"/>
      <c r="BJ83" s="2" t="s">
        <v>2118</v>
      </c>
      <c r="BK83" s="2" t="s">
        <v>2118</v>
      </c>
      <c r="BL83" s="2" t="s">
        <v>2118</v>
      </c>
      <c r="BM83" s="2"/>
      <c r="BN83" s="2"/>
      <c r="BO83" s="2"/>
      <c r="BP83" s="2"/>
      <c r="BQ83" s="2"/>
      <c r="BR83" s="2"/>
      <c r="BS83" s="2"/>
      <c r="BT83" s="2"/>
      <c r="BU83" s="2"/>
      <c r="BV83" s="2"/>
      <c r="BW83" s="2"/>
      <c r="BX83" s="2"/>
      <c r="BY83" s="2"/>
      <c r="BZ83" s="2"/>
      <c r="CA83" s="2"/>
      <c r="CB83" s="2"/>
      <c r="CC83" s="2" t="s">
        <v>243</v>
      </c>
      <c r="CD83" s="2" t="str">
        <f>HYPERLINK("https://patentscout.innography.com/share/Ur46zagn4CsOtw-bPh9gtQ%3D%3D", "Innography Link")</f>
        <v>Innography Link</v>
      </c>
      <c r="CE83" s="2"/>
      <c r="CF83" s="2"/>
      <c r="CG83" s="2"/>
      <c r="CH83" s="2"/>
      <c r="CI83" s="2"/>
      <c r="CK83" s="2" t="s">
        <v>2119</v>
      </c>
    </row>
    <row r="84" spans="1:95" ht="152" customHeight="1" x14ac:dyDescent="0.45">
      <c r="A84" s="2">
        <v>0</v>
      </c>
      <c r="B84" s="2">
        <v>6</v>
      </c>
      <c r="C84" s="2" t="s">
        <v>2120</v>
      </c>
      <c r="D84" s="2"/>
      <c r="E84" s="2"/>
      <c r="F84" s="2" t="s">
        <v>1500</v>
      </c>
      <c r="G84" s="2" t="s">
        <v>1500</v>
      </c>
      <c r="H84" s="2" t="s">
        <v>2121</v>
      </c>
      <c r="I84" s="2" t="s">
        <v>2121</v>
      </c>
      <c r="J84" s="2" t="s">
        <v>2122</v>
      </c>
      <c r="K84" s="2" t="s">
        <v>1500</v>
      </c>
      <c r="L84" s="2" t="s">
        <v>1500</v>
      </c>
      <c r="M84" s="2" t="s">
        <v>2123</v>
      </c>
      <c r="N84" s="2" t="s">
        <v>2124</v>
      </c>
      <c r="O84" s="2"/>
      <c r="P84" s="2" t="s">
        <v>2125</v>
      </c>
      <c r="Q84" s="2" t="s">
        <v>2125</v>
      </c>
      <c r="R84" s="2" t="s">
        <v>2125</v>
      </c>
      <c r="S84" s="2" t="s">
        <v>2125</v>
      </c>
      <c r="T84" s="2">
        <v>87</v>
      </c>
      <c r="U84" s="2">
        <v>6</v>
      </c>
      <c r="V84" s="2" t="s">
        <v>2126</v>
      </c>
      <c r="W84" s="2"/>
      <c r="X84" s="2"/>
      <c r="Y84" s="2"/>
      <c r="Z84" s="2" t="s">
        <v>2127</v>
      </c>
      <c r="AA84" s="2" t="s">
        <v>2128</v>
      </c>
      <c r="AB84" s="2">
        <v>7</v>
      </c>
      <c r="AC84" s="2" t="s">
        <v>235</v>
      </c>
      <c r="AD84" s="2" t="s">
        <v>2129</v>
      </c>
      <c r="AE84" s="2">
        <v>908</v>
      </c>
      <c r="AF84" s="2" t="s">
        <v>141</v>
      </c>
      <c r="AG84" s="2"/>
      <c r="AH84" s="2"/>
      <c r="AI84" s="2"/>
      <c r="AJ84" s="2"/>
      <c r="AK84" s="2" t="s">
        <v>217</v>
      </c>
      <c r="AL84" s="2" t="s">
        <v>588</v>
      </c>
      <c r="AM84" s="2" t="s">
        <v>588</v>
      </c>
      <c r="AN84" s="2" t="s">
        <v>589</v>
      </c>
      <c r="AO84" s="2" t="s">
        <v>2130</v>
      </c>
      <c r="AP84" s="2">
        <v>705348000</v>
      </c>
      <c r="AQ84" s="2">
        <v>705348000</v>
      </c>
      <c r="AR84" s="2" t="s">
        <v>253</v>
      </c>
      <c r="AS84" s="2">
        <v>84040844</v>
      </c>
      <c r="AT84" s="2" t="s">
        <v>2131</v>
      </c>
      <c r="AU84" s="2"/>
      <c r="AV84" s="2"/>
      <c r="AW84" s="2" t="s">
        <v>336</v>
      </c>
      <c r="AX84" s="2">
        <v>92599038</v>
      </c>
      <c r="AY84" s="2" t="s">
        <v>2132</v>
      </c>
      <c r="AZ84" s="2" t="s">
        <v>2133</v>
      </c>
      <c r="BA84" s="2" t="s">
        <v>2134</v>
      </c>
      <c r="BB84" s="2">
        <v>0</v>
      </c>
      <c r="BC84" s="3" t="str">
        <f>HYPERLINK("https://patentscout.innography.com/share/YpiAKY_IF_8ZuCdYwQWBAg%3D%3D","KR102462251")</f>
        <v>KR102462251</v>
      </c>
      <c r="BD84" s="2" t="s">
        <v>2135</v>
      </c>
      <c r="BE84" s="2" t="s">
        <v>2136</v>
      </c>
      <c r="BF84" s="2" t="s">
        <v>2137</v>
      </c>
      <c r="BG84" s="2" t="str">
        <f>HYPERLINK("https://patentscout.innography.com/share/YpiAKY_IF_8ZuCdYwQWBAg%3D%3D/download", "Download PDF")</f>
        <v>Download PDF</v>
      </c>
      <c r="BH84" s="2" t="s">
        <v>2138</v>
      </c>
      <c r="BI84" s="2"/>
      <c r="BJ84" s="2" t="s">
        <v>2139</v>
      </c>
      <c r="BK84" s="2" t="s">
        <v>2139</v>
      </c>
      <c r="BL84" s="2" t="s">
        <v>2139</v>
      </c>
      <c r="BM84" s="2"/>
      <c r="BN84" s="2"/>
      <c r="BO84" s="2"/>
      <c r="BP84" s="2"/>
      <c r="BQ84" s="2"/>
      <c r="BR84" s="2"/>
      <c r="BS84" s="2"/>
      <c r="BT84" s="2"/>
      <c r="BU84" s="2"/>
      <c r="BV84" s="2"/>
      <c r="BW84" s="2"/>
      <c r="BX84" s="2"/>
      <c r="BY84" s="2"/>
      <c r="BZ84" s="2"/>
      <c r="CA84" s="2"/>
      <c r="CB84" s="2"/>
      <c r="CC84" s="2" t="s">
        <v>243</v>
      </c>
      <c r="CD84" s="2" t="str">
        <f>HYPERLINK("https://patentscout.innography.com/share/YpiAKY_IF_8ZuCdYwQWBAg%3D%3D", "Innography Link")</f>
        <v>Innography Link</v>
      </c>
      <c r="CE84" s="2"/>
      <c r="CF84" s="2"/>
      <c r="CG84" s="2"/>
      <c r="CH84" s="2"/>
      <c r="CI84" s="2"/>
      <c r="CK84" s="2" t="s">
        <v>2140</v>
      </c>
      <c r="CL84" s="2" t="s">
        <v>780</v>
      </c>
      <c r="CM84" s="2" t="s">
        <v>444</v>
      </c>
      <c r="CN84" s="2" t="s">
        <v>371</v>
      </c>
      <c r="CO84" s="2" t="s">
        <v>497</v>
      </c>
      <c r="CP84" s="2" t="s">
        <v>2141</v>
      </c>
      <c r="CQ84" s="2" t="s">
        <v>854</v>
      </c>
    </row>
    <row r="85" spans="1:95" ht="152" customHeight="1" x14ac:dyDescent="0.45">
      <c r="A85" s="2">
        <v>0</v>
      </c>
      <c r="B85" s="2">
        <v>7</v>
      </c>
      <c r="C85" s="2" t="s">
        <v>2142</v>
      </c>
      <c r="D85" s="2"/>
      <c r="E85" s="2"/>
      <c r="F85" s="2" t="s">
        <v>2143</v>
      </c>
      <c r="G85" s="2" t="s">
        <v>2143</v>
      </c>
      <c r="H85" s="2" t="s">
        <v>1643</v>
      </c>
      <c r="I85" s="2" t="s">
        <v>1643</v>
      </c>
      <c r="J85" s="2" t="s">
        <v>1644</v>
      </c>
      <c r="K85" s="2" t="s">
        <v>2143</v>
      </c>
      <c r="L85" s="2" t="s">
        <v>2143</v>
      </c>
      <c r="M85" s="2" t="s">
        <v>2144</v>
      </c>
      <c r="N85" s="2" t="s">
        <v>2145</v>
      </c>
      <c r="O85" s="2"/>
      <c r="P85" s="2" t="s">
        <v>1647</v>
      </c>
      <c r="Q85" s="2" t="s">
        <v>1648</v>
      </c>
      <c r="R85" s="2" t="s">
        <v>1648</v>
      </c>
      <c r="S85" s="2" t="s">
        <v>1647</v>
      </c>
      <c r="T85" s="2">
        <v>87</v>
      </c>
      <c r="U85" s="2">
        <v>8</v>
      </c>
      <c r="V85" s="2" t="s">
        <v>2146</v>
      </c>
      <c r="W85" s="2"/>
      <c r="X85" s="2"/>
      <c r="Y85" s="2"/>
      <c r="Z85" s="2" t="s">
        <v>2147</v>
      </c>
      <c r="AA85" s="2" t="s">
        <v>2148</v>
      </c>
      <c r="AB85" s="2">
        <v>12</v>
      </c>
      <c r="AC85" s="2" t="s">
        <v>235</v>
      </c>
      <c r="AD85" s="2" t="s">
        <v>1652</v>
      </c>
      <c r="AE85" s="2">
        <v>791</v>
      </c>
      <c r="AF85" s="2" t="s">
        <v>141</v>
      </c>
      <c r="AG85" s="2"/>
      <c r="AH85" s="2"/>
      <c r="AI85" s="2"/>
      <c r="AJ85" s="2"/>
      <c r="AK85" s="2" t="s">
        <v>217</v>
      </c>
      <c r="AL85" s="2" t="s">
        <v>2149</v>
      </c>
      <c r="AM85" s="2" t="s">
        <v>2149</v>
      </c>
      <c r="AN85" s="2" t="s">
        <v>2150</v>
      </c>
      <c r="AO85" s="2" t="s">
        <v>2151</v>
      </c>
      <c r="AP85" s="2"/>
      <c r="AQ85" s="2"/>
      <c r="AR85" s="2" t="s">
        <v>253</v>
      </c>
      <c r="AS85" s="2">
        <v>82609773</v>
      </c>
      <c r="AT85" s="2" t="s">
        <v>2152</v>
      </c>
      <c r="AU85" s="2"/>
      <c r="AV85" s="2"/>
      <c r="AW85" s="2" t="s">
        <v>821</v>
      </c>
      <c r="AX85" s="2">
        <v>89269633</v>
      </c>
      <c r="AY85" s="2" t="s">
        <v>2153</v>
      </c>
      <c r="AZ85" s="2" t="s">
        <v>2154</v>
      </c>
      <c r="BA85" s="2" t="s">
        <v>1657</v>
      </c>
      <c r="BB85" s="2">
        <v>0</v>
      </c>
      <c r="BC85" s="3" t="str">
        <f>HYPERLINK("https://patentscout.innography.com/share/EelUxRLkqkvYuO0Yp-dLEg%3D%3D","KR102425479")</f>
        <v>KR102425479</v>
      </c>
      <c r="BD85" s="2" t="s">
        <v>2155</v>
      </c>
      <c r="BE85" s="2" t="s">
        <v>2156</v>
      </c>
      <c r="BF85" s="2" t="s">
        <v>2157</v>
      </c>
      <c r="BG85" s="2" t="str">
        <f>HYPERLINK("https://patentscout.innography.com/share/EelUxRLkqkvYuO0Yp-dLEg%3D%3D/download", "Download PDF")</f>
        <v>Download PDF</v>
      </c>
      <c r="BH85" s="2" t="s">
        <v>2158</v>
      </c>
      <c r="BI85" s="2"/>
      <c r="BJ85" s="2" t="s">
        <v>2159</v>
      </c>
      <c r="BK85" s="2" t="s">
        <v>2159</v>
      </c>
      <c r="BL85" s="2" t="s">
        <v>2159</v>
      </c>
      <c r="BM85" s="2"/>
      <c r="BN85" s="2"/>
      <c r="BO85" s="2"/>
      <c r="BP85" s="2"/>
      <c r="BQ85" s="2"/>
      <c r="BR85" s="2"/>
      <c r="BS85" s="2"/>
      <c r="BT85" s="2"/>
      <c r="BU85" s="2"/>
      <c r="BV85" s="2"/>
      <c r="BW85" s="2"/>
      <c r="BX85" s="2"/>
      <c r="BY85" s="2"/>
      <c r="BZ85" s="2"/>
      <c r="CA85" s="2"/>
      <c r="CB85" s="2"/>
      <c r="CC85" s="2" t="s">
        <v>243</v>
      </c>
      <c r="CD85" s="2" t="str">
        <f>HYPERLINK("https://patentscout.innography.com/share/EelUxRLkqkvYuO0Yp-dLEg%3D%3D", "Innography Link")</f>
        <v>Innography Link</v>
      </c>
      <c r="CE85" s="2"/>
      <c r="CF85" s="2"/>
      <c r="CG85" s="2"/>
      <c r="CH85" s="2"/>
      <c r="CI85" s="2"/>
      <c r="CK85" s="2" t="s">
        <v>2160</v>
      </c>
      <c r="CL85" s="2" t="s">
        <v>854</v>
      </c>
      <c r="CM85" s="2" t="s">
        <v>372</v>
      </c>
      <c r="CN85" s="2" t="s">
        <v>2161</v>
      </c>
    </row>
    <row r="86" spans="1:95" ht="152" customHeight="1" x14ac:dyDescent="0.45">
      <c r="A86" s="2">
        <v>0</v>
      </c>
      <c r="B86" s="2">
        <v>7</v>
      </c>
      <c r="C86" s="2" t="s">
        <v>2162</v>
      </c>
      <c r="D86" s="2"/>
      <c r="E86" s="2"/>
      <c r="F86" s="2" t="s">
        <v>2163</v>
      </c>
      <c r="G86" s="2" t="s">
        <v>2163</v>
      </c>
      <c r="H86" s="2" t="s">
        <v>1643</v>
      </c>
      <c r="I86" s="2" t="s">
        <v>1643</v>
      </c>
      <c r="J86" s="2" t="s">
        <v>1644</v>
      </c>
      <c r="K86" s="2" t="s">
        <v>2163</v>
      </c>
      <c r="L86" s="2" t="s">
        <v>2163</v>
      </c>
      <c r="M86" s="2" t="s">
        <v>2164</v>
      </c>
      <c r="N86" s="2" t="s">
        <v>2165</v>
      </c>
      <c r="O86" s="2" t="s">
        <v>2166</v>
      </c>
      <c r="P86" s="2" t="s">
        <v>1647</v>
      </c>
      <c r="Q86" s="2" t="s">
        <v>1648</v>
      </c>
      <c r="R86" s="2" t="s">
        <v>1648</v>
      </c>
      <c r="S86" s="2" t="s">
        <v>1647</v>
      </c>
      <c r="T86" s="2">
        <v>87</v>
      </c>
      <c r="U86" s="2">
        <v>8</v>
      </c>
      <c r="V86" s="2" t="s">
        <v>2167</v>
      </c>
      <c r="W86" s="2"/>
      <c r="X86" s="2"/>
      <c r="Y86" s="2"/>
      <c r="Z86" s="2" t="s">
        <v>2168</v>
      </c>
      <c r="AA86" s="2" t="s">
        <v>2169</v>
      </c>
      <c r="AB86" s="2">
        <v>12</v>
      </c>
      <c r="AC86" s="2" t="s">
        <v>235</v>
      </c>
      <c r="AD86" s="2" t="s">
        <v>1652</v>
      </c>
      <c r="AE86" s="2">
        <v>888</v>
      </c>
      <c r="AF86" s="2" t="s">
        <v>141</v>
      </c>
      <c r="AG86" s="2"/>
      <c r="AH86" s="2"/>
      <c r="AI86" s="2"/>
      <c r="AJ86" s="2"/>
      <c r="AK86" s="2" t="s">
        <v>217</v>
      </c>
      <c r="AL86" s="2" t="s">
        <v>1611</v>
      </c>
      <c r="AM86" s="2" t="s">
        <v>1611</v>
      </c>
      <c r="AN86" s="2" t="s">
        <v>1612</v>
      </c>
      <c r="AO86" s="2" t="s">
        <v>2170</v>
      </c>
      <c r="AP86" s="2">
        <v>340005530</v>
      </c>
      <c r="AQ86" s="2">
        <v>340005530</v>
      </c>
      <c r="AR86" s="2" t="s">
        <v>253</v>
      </c>
      <c r="AS86" s="2">
        <v>83460709</v>
      </c>
      <c r="AT86" s="2" t="s">
        <v>2171</v>
      </c>
      <c r="AU86" s="2"/>
      <c r="AV86" s="2"/>
      <c r="AW86" s="2" t="s">
        <v>336</v>
      </c>
      <c r="AX86" s="2">
        <v>91462403</v>
      </c>
      <c r="AY86" s="2" t="s">
        <v>2172</v>
      </c>
      <c r="AZ86" s="2" t="s">
        <v>2173</v>
      </c>
      <c r="BA86" s="2" t="s">
        <v>1657</v>
      </c>
      <c r="BB86" s="2">
        <v>0</v>
      </c>
      <c r="BC86" s="3" t="str">
        <f>HYPERLINK("https://patentscout.innography.com/share/hAlsHQWlhNZsXkuklEAXmg%3D%3D","KR102445133")</f>
        <v>KR102445133</v>
      </c>
      <c r="BD86" s="2" t="s">
        <v>2174</v>
      </c>
      <c r="BE86" s="2"/>
      <c r="BF86" s="2" t="s">
        <v>2175</v>
      </c>
      <c r="BG86" s="2" t="str">
        <f>HYPERLINK("https://patentscout.innography.com/share/hAlsHQWlhNZsXkuklEAXmg%3D%3D/download", "Download PDF")</f>
        <v>Download PDF</v>
      </c>
      <c r="BH86" s="2" t="s">
        <v>2176</v>
      </c>
      <c r="BI86" s="2"/>
      <c r="BJ86" s="2" t="s">
        <v>2177</v>
      </c>
      <c r="BK86" s="2" t="s">
        <v>2177</v>
      </c>
      <c r="BL86" s="2" t="s">
        <v>2177</v>
      </c>
      <c r="BM86" s="2"/>
      <c r="BN86" s="2"/>
      <c r="BO86" s="2"/>
      <c r="BP86" s="2"/>
      <c r="BQ86" s="2"/>
      <c r="BR86" s="2"/>
      <c r="BS86" s="2"/>
      <c r="BT86" s="2"/>
      <c r="BU86" s="2"/>
      <c r="BV86" s="2"/>
      <c r="BW86" s="2"/>
      <c r="BX86" s="2"/>
      <c r="BY86" s="2"/>
      <c r="BZ86" s="2"/>
      <c r="CA86" s="2"/>
      <c r="CB86" s="2"/>
      <c r="CC86" s="2" t="s">
        <v>243</v>
      </c>
      <c r="CD86" s="2" t="str">
        <f>HYPERLINK("https://patentscout.innography.com/share/hAlsHQWlhNZsXkuklEAXmg%3D%3D", "Innography Link")</f>
        <v>Innography Link</v>
      </c>
      <c r="CE86" s="2"/>
      <c r="CF86" s="2"/>
      <c r="CG86" s="2"/>
      <c r="CH86" s="2"/>
      <c r="CI86" s="2"/>
      <c r="CK86" s="2" t="s">
        <v>2178</v>
      </c>
      <c r="CL86" s="2" t="s">
        <v>780</v>
      </c>
      <c r="CM86" s="2" t="s">
        <v>854</v>
      </c>
      <c r="CN86" s="2" t="s">
        <v>602</v>
      </c>
      <c r="CO86" s="2" t="s">
        <v>372</v>
      </c>
      <c r="CP86" s="2" t="s">
        <v>2179</v>
      </c>
    </row>
    <row r="87" spans="1:95" ht="152" customHeight="1" x14ac:dyDescent="0.45">
      <c r="A87" s="2">
        <v>0</v>
      </c>
      <c r="B87" s="2">
        <v>2</v>
      </c>
      <c r="C87" s="2" t="s">
        <v>2180</v>
      </c>
      <c r="D87" s="2"/>
      <c r="E87" s="2"/>
      <c r="F87" s="2" t="s">
        <v>551</v>
      </c>
      <c r="G87" s="2" t="s">
        <v>551</v>
      </c>
      <c r="H87" s="2" t="s">
        <v>1222</v>
      </c>
      <c r="I87" s="2" t="s">
        <v>1222</v>
      </c>
      <c r="J87" s="2" t="s">
        <v>1294</v>
      </c>
      <c r="K87" s="2" t="s">
        <v>551</v>
      </c>
      <c r="L87" s="2" t="s">
        <v>551</v>
      </c>
      <c r="M87" s="2" t="s">
        <v>2181</v>
      </c>
      <c r="N87" s="2" t="s">
        <v>2182</v>
      </c>
      <c r="O87" s="2"/>
      <c r="P87" s="2" t="s">
        <v>2183</v>
      </c>
      <c r="Q87" s="2"/>
      <c r="R87" s="2"/>
      <c r="S87" s="2" t="s">
        <v>2183</v>
      </c>
      <c r="T87" s="2">
        <v>87</v>
      </c>
      <c r="U87" s="2">
        <v>2</v>
      </c>
      <c r="V87" s="2" t="s">
        <v>2184</v>
      </c>
      <c r="W87" s="2"/>
      <c r="X87" s="2"/>
      <c r="Y87" s="2"/>
      <c r="Z87" s="2" t="s">
        <v>2185</v>
      </c>
      <c r="AA87" s="2" t="s">
        <v>2186</v>
      </c>
      <c r="AB87" s="2">
        <v>3</v>
      </c>
      <c r="AC87" s="2" t="s">
        <v>235</v>
      </c>
      <c r="AD87" s="2" t="s">
        <v>2183</v>
      </c>
      <c r="AE87" s="2">
        <v>485</v>
      </c>
      <c r="AF87" s="2" t="s">
        <v>141</v>
      </c>
      <c r="AG87" s="2"/>
      <c r="AH87" s="2"/>
      <c r="AI87" s="2"/>
      <c r="AJ87" s="2"/>
      <c r="AK87" s="2" t="s">
        <v>217</v>
      </c>
      <c r="AL87" s="2" t="s">
        <v>298</v>
      </c>
      <c r="AM87" s="2" t="s">
        <v>298</v>
      </c>
      <c r="AN87" s="2" t="s">
        <v>359</v>
      </c>
      <c r="AO87" s="2" t="s">
        <v>2187</v>
      </c>
      <c r="AP87" s="2">
        <v>705348000</v>
      </c>
      <c r="AQ87" s="2">
        <v>705348000</v>
      </c>
      <c r="AR87" s="2" t="s">
        <v>253</v>
      </c>
      <c r="AS87" s="2">
        <v>83597322</v>
      </c>
      <c r="AT87" s="2" t="s">
        <v>2188</v>
      </c>
      <c r="AU87" s="2"/>
      <c r="AV87" s="2"/>
      <c r="AW87" s="2" t="s">
        <v>336</v>
      </c>
      <c r="AX87" s="2">
        <v>91637080</v>
      </c>
      <c r="AY87" s="2" t="s">
        <v>2189</v>
      </c>
      <c r="AZ87" s="2" t="s">
        <v>2190</v>
      </c>
      <c r="BA87" s="2" t="s">
        <v>1309</v>
      </c>
      <c r="BB87" s="2">
        <v>0</v>
      </c>
      <c r="BC87" s="3" t="str">
        <f>HYPERLINK("https://patentscout.innography.com/share/_-DHqL_czWjW5GspStnnMw%3D%3D","KR102451241")</f>
        <v>KR102451241</v>
      </c>
      <c r="BD87" s="2" t="s">
        <v>2191</v>
      </c>
      <c r="BE87" s="2" t="s">
        <v>2192</v>
      </c>
      <c r="BF87" s="2" t="s">
        <v>2193</v>
      </c>
      <c r="BG87" s="2" t="str">
        <f>HYPERLINK("https://patentscout.innography.com/share/_-DHqL_czWjW5GspStnnMw%3D%3D/download", "Download PDF")</f>
        <v>Download PDF</v>
      </c>
      <c r="BH87" s="2" t="s">
        <v>2194</v>
      </c>
      <c r="BI87" s="2"/>
      <c r="BJ87" s="2" t="s">
        <v>2195</v>
      </c>
      <c r="BK87" s="2" t="s">
        <v>2195</v>
      </c>
      <c r="BL87" s="2" t="s">
        <v>2195</v>
      </c>
      <c r="BM87" s="2"/>
      <c r="BN87" s="2"/>
      <c r="BO87" s="2"/>
      <c r="BP87" s="2"/>
      <c r="BQ87" s="2"/>
      <c r="BR87" s="2"/>
      <c r="BS87" s="2"/>
      <c r="BT87" s="2"/>
      <c r="BU87" s="2"/>
      <c r="BV87" s="2"/>
      <c r="BW87" s="2"/>
      <c r="BX87" s="2"/>
      <c r="BY87" s="2"/>
      <c r="BZ87" s="2"/>
      <c r="CA87" s="2"/>
      <c r="CB87" s="2"/>
      <c r="CC87" s="2" t="s">
        <v>243</v>
      </c>
      <c r="CD87" s="2" t="str">
        <f>HYPERLINK("https://patentscout.innography.com/share/_-DHqL_czWjW5GspStnnMw%3D%3D", "Innography Link")</f>
        <v>Innography Link</v>
      </c>
      <c r="CE87" s="2"/>
      <c r="CF87" s="2"/>
      <c r="CG87" s="2"/>
      <c r="CH87" s="2"/>
      <c r="CI87" s="2"/>
      <c r="CK87" s="2" t="s">
        <v>2196</v>
      </c>
    </row>
    <row r="88" spans="1:95" ht="152" customHeight="1" x14ac:dyDescent="0.45">
      <c r="A88" s="2">
        <v>0</v>
      </c>
      <c r="B88" s="2">
        <v>4</v>
      </c>
      <c r="C88" s="2" t="s">
        <v>1051</v>
      </c>
      <c r="D88" s="2"/>
      <c r="E88" s="2"/>
      <c r="F88" s="2" t="s">
        <v>2197</v>
      </c>
      <c r="G88" s="2" t="s">
        <v>2197</v>
      </c>
      <c r="H88" s="2" t="s">
        <v>1053</v>
      </c>
      <c r="I88" s="2" t="s">
        <v>2198</v>
      </c>
      <c r="J88" s="2" t="s">
        <v>1055</v>
      </c>
      <c r="K88" s="2" t="s">
        <v>1052</v>
      </c>
      <c r="L88" s="2" t="s">
        <v>1052</v>
      </c>
      <c r="M88" s="2" t="s">
        <v>2199</v>
      </c>
      <c r="N88" s="2" t="s">
        <v>2200</v>
      </c>
      <c r="O88" s="2" t="s">
        <v>2201</v>
      </c>
      <c r="P88" s="2" t="s">
        <v>1058</v>
      </c>
      <c r="Q88" s="2" t="s">
        <v>1059</v>
      </c>
      <c r="R88" s="2" t="s">
        <v>1060</v>
      </c>
      <c r="S88" s="2" t="s">
        <v>1058</v>
      </c>
      <c r="T88" s="2">
        <v>87</v>
      </c>
      <c r="U88" s="2">
        <v>2</v>
      </c>
      <c r="V88" s="2" t="s">
        <v>2202</v>
      </c>
      <c r="W88" s="2"/>
      <c r="X88" s="2"/>
      <c r="Y88" s="2"/>
      <c r="Z88" s="2" t="s">
        <v>2203</v>
      </c>
      <c r="AA88" s="2" t="s">
        <v>2203</v>
      </c>
      <c r="AB88" s="2">
        <v>1</v>
      </c>
      <c r="AC88" s="2" t="s">
        <v>235</v>
      </c>
      <c r="AD88" s="2" t="s">
        <v>2204</v>
      </c>
      <c r="AE88" s="2">
        <v>761</v>
      </c>
      <c r="AF88" s="2" t="s">
        <v>141</v>
      </c>
      <c r="AG88" s="2"/>
      <c r="AH88" s="2"/>
      <c r="AI88" s="2"/>
      <c r="AJ88" s="2"/>
      <c r="AK88" s="2" t="s">
        <v>217</v>
      </c>
      <c r="AL88" s="2" t="s">
        <v>1065</v>
      </c>
      <c r="AM88" s="2" t="s">
        <v>1065</v>
      </c>
      <c r="AN88" s="2" t="s">
        <v>1066</v>
      </c>
      <c r="AO88" s="2" t="s">
        <v>1067</v>
      </c>
      <c r="AP88" s="2">
        <v>705348000</v>
      </c>
      <c r="AQ88" s="2">
        <v>705348000</v>
      </c>
      <c r="AR88" s="2" t="s">
        <v>253</v>
      </c>
      <c r="AS88" s="2">
        <v>82700892</v>
      </c>
      <c r="AT88" s="2" t="s">
        <v>1068</v>
      </c>
      <c r="AU88" s="2"/>
      <c r="AV88" s="2"/>
      <c r="AW88" s="2" t="s">
        <v>336</v>
      </c>
      <c r="AX88" s="2">
        <v>89383095</v>
      </c>
      <c r="AY88" s="2" t="s">
        <v>1069</v>
      </c>
      <c r="AZ88" s="2" t="s">
        <v>2205</v>
      </c>
      <c r="BA88" s="2" t="s">
        <v>2206</v>
      </c>
      <c r="BB88" s="2">
        <v>0</v>
      </c>
      <c r="BC88" s="3" t="str">
        <f>HYPERLINK("https://patentscout.innography.com/share/iy6F2wT4OG_xswPW0vlB3Q%3D%3D","KR102456160")</f>
        <v>KR102456160</v>
      </c>
      <c r="BD88" s="2" t="s">
        <v>2207</v>
      </c>
      <c r="BE88" s="2" t="s">
        <v>2208</v>
      </c>
      <c r="BF88" s="2" t="s">
        <v>2209</v>
      </c>
      <c r="BG88" s="2" t="str">
        <f>HYPERLINK("https://patentscout.innography.com/share/iy6F2wT4OG_xswPW0vlB3Q%3D%3D/download", "Download PDF")</f>
        <v>Download PDF</v>
      </c>
      <c r="BH88" s="2" t="s">
        <v>2210</v>
      </c>
      <c r="BI88" s="2"/>
      <c r="BJ88" s="2" t="s">
        <v>2211</v>
      </c>
      <c r="BK88" s="2" t="s">
        <v>1076</v>
      </c>
      <c r="BL88" s="2" t="s">
        <v>1076</v>
      </c>
      <c r="BM88" s="2"/>
      <c r="BN88" s="2"/>
      <c r="BO88" s="2"/>
      <c r="BP88" s="2"/>
      <c r="BQ88" s="2"/>
      <c r="BR88" s="2"/>
      <c r="BS88" s="2"/>
      <c r="BT88" s="2"/>
      <c r="BU88" s="2"/>
      <c r="BV88" s="2"/>
      <c r="BW88" s="2"/>
      <c r="BX88" s="2"/>
      <c r="BY88" s="2"/>
      <c r="BZ88" s="2"/>
      <c r="CA88" s="2"/>
      <c r="CB88" s="2"/>
      <c r="CC88" s="2" t="s">
        <v>243</v>
      </c>
      <c r="CD88" s="2" t="str">
        <f>HYPERLINK("https://patentscout.innography.com/share/iy6F2wT4OG_xswPW0vlB3Q%3D%3D", "Innography Link")</f>
        <v>Innography Link</v>
      </c>
      <c r="CE88" s="2"/>
      <c r="CF88" s="2"/>
      <c r="CG88" s="2"/>
      <c r="CH88" s="2"/>
      <c r="CI88" s="2"/>
      <c r="CK88" s="2" t="s">
        <v>2212</v>
      </c>
    </row>
    <row r="89" spans="1:95" ht="152" customHeight="1" x14ac:dyDescent="0.45">
      <c r="A89" s="2">
        <v>5</v>
      </c>
      <c r="B89" s="2">
        <v>6</v>
      </c>
      <c r="C89" s="2" t="s">
        <v>2213</v>
      </c>
      <c r="D89" s="2" t="s">
        <v>2214</v>
      </c>
      <c r="E89" s="2"/>
      <c r="F89" s="2" t="s">
        <v>2215</v>
      </c>
      <c r="G89" s="2" t="s">
        <v>2215</v>
      </c>
      <c r="H89" s="2" t="s">
        <v>951</v>
      </c>
      <c r="I89" s="2" t="s">
        <v>951</v>
      </c>
      <c r="J89" s="2" t="s">
        <v>1319</v>
      </c>
      <c r="K89" s="2" t="s">
        <v>2215</v>
      </c>
      <c r="L89" s="2" t="s">
        <v>2215</v>
      </c>
      <c r="M89" s="2" t="s">
        <v>2216</v>
      </c>
      <c r="N89" s="2" t="s">
        <v>2217</v>
      </c>
      <c r="O89" s="2" t="s">
        <v>2218</v>
      </c>
      <c r="P89" s="2" t="s">
        <v>1323</v>
      </c>
      <c r="Q89" s="2" t="s">
        <v>1323</v>
      </c>
      <c r="R89" s="2" t="s">
        <v>1324</v>
      </c>
      <c r="S89" s="2" t="s">
        <v>1323</v>
      </c>
      <c r="T89" s="2">
        <v>87</v>
      </c>
      <c r="U89" s="2">
        <v>61</v>
      </c>
      <c r="V89" s="2" t="s">
        <v>2219</v>
      </c>
      <c r="W89" s="2"/>
      <c r="X89" s="2"/>
      <c r="Y89" s="2"/>
      <c r="Z89" s="2" t="s">
        <v>2220</v>
      </c>
      <c r="AA89" s="2" t="s">
        <v>2221</v>
      </c>
      <c r="AB89" s="2">
        <v>10</v>
      </c>
      <c r="AC89" s="2" t="s">
        <v>235</v>
      </c>
      <c r="AD89" s="2" t="s">
        <v>1328</v>
      </c>
      <c r="AE89" s="2">
        <v>434</v>
      </c>
      <c r="AF89" s="2" t="s">
        <v>141</v>
      </c>
      <c r="AG89" s="2"/>
      <c r="AH89" s="2"/>
      <c r="AI89" s="2"/>
      <c r="AJ89" s="2"/>
      <c r="AK89" s="2" t="s">
        <v>217</v>
      </c>
      <c r="AL89" s="2" t="s">
        <v>298</v>
      </c>
      <c r="AM89" s="2" t="s">
        <v>298</v>
      </c>
      <c r="AN89" s="2" t="s">
        <v>359</v>
      </c>
      <c r="AO89" s="2" t="s">
        <v>2222</v>
      </c>
      <c r="AP89" s="2">
        <v>705348000</v>
      </c>
      <c r="AQ89" s="2">
        <v>705348000</v>
      </c>
      <c r="AR89" s="2" t="s">
        <v>514</v>
      </c>
      <c r="AS89" s="2">
        <v>79176761</v>
      </c>
      <c r="AT89" s="2" t="s">
        <v>2223</v>
      </c>
      <c r="AU89" s="2"/>
      <c r="AV89" s="2"/>
      <c r="AW89" s="2" t="s">
        <v>336</v>
      </c>
      <c r="AX89" s="2">
        <v>83962710</v>
      </c>
      <c r="AY89" s="2" t="s">
        <v>2224</v>
      </c>
      <c r="AZ89" s="2" t="s">
        <v>2225</v>
      </c>
      <c r="BA89" s="2" t="s">
        <v>1333</v>
      </c>
      <c r="BB89" s="2">
        <v>0</v>
      </c>
      <c r="BC89" s="3" t="str">
        <f>HYPERLINK("https://patentscout.innography.com/share/mrOCJH5lIVpMxrx7BPcbFQ%3D%3D","KR102343582")</f>
        <v>KR102343582</v>
      </c>
      <c r="BD89" s="2" t="s">
        <v>2226</v>
      </c>
      <c r="BE89" s="2" t="s">
        <v>2227</v>
      </c>
      <c r="BF89" s="2" t="s">
        <v>2228</v>
      </c>
      <c r="BG89" s="2" t="str">
        <f>HYPERLINK("https://patentscout.innography.com/share/mrOCJH5lIVpMxrx7BPcbFQ%3D%3D/download", "Download PDF")</f>
        <v>Download PDF</v>
      </c>
      <c r="BH89" s="2" t="s">
        <v>2229</v>
      </c>
      <c r="BI89" s="2"/>
      <c r="BJ89" s="2" t="s">
        <v>2230</v>
      </c>
      <c r="BK89" s="2" t="s">
        <v>2230</v>
      </c>
      <c r="BL89" s="2" t="s">
        <v>2230</v>
      </c>
      <c r="BM89" s="2"/>
      <c r="BN89" s="2"/>
      <c r="BO89" s="2"/>
      <c r="BP89" s="2"/>
      <c r="BQ89" s="2"/>
      <c r="BR89" s="2"/>
      <c r="BS89" s="2"/>
      <c r="BT89" s="2"/>
      <c r="BU89" s="2"/>
      <c r="BV89" s="2"/>
      <c r="BW89" s="2"/>
      <c r="BX89" s="2"/>
      <c r="BY89" s="2"/>
      <c r="BZ89" s="2"/>
      <c r="CA89" s="2"/>
      <c r="CB89" s="2"/>
      <c r="CC89" s="2" t="s">
        <v>243</v>
      </c>
      <c r="CD89" s="2" t="str">
        <f>HYPERLINK("https://patentscout.innography.com/share/mrOCJH5lIVpMxrx7BPcbFQ%3D%3D", "Innography Link")</f>
        <v>Innography Link</v>
      </c>
      <c r="CE89" s="2"/>
      <c r="CF89" s="2"/>
      <c r="CG89" s="2"/>
      <c r="CH89" s="2"/>
      <c r="CI89" s="2"/>
      <c r="CK89" s="2" t="s">
        <v>2231</v>
      </c>
      <c r="CL89" s="2" t="s">
        <v>854</v>
      </c>
      <c r="CM89" s="2" t="s">
        <v>602</v>
      </c>
      <c r="CN89" s="2" t="s">
        <v>372</v>
      </c>
      <c r="CO89" s="2" t="s">
        <v>782</v>
      </c>
    </row>
    <row r="90" spans="1:95" ht="152" customHeight="1" x14ac:dyDescent="0.45">
      <c r="A90" s="2">
        <v>0</v>
      </c>
      <c r="B90" s="2">
        <v>2</v>
      </c>
      <c r="C90" s="2" t="s">
        <v>2232</v>
      </c>
      <c r="D90" s="2"/>
      <c r="E90" s="2"/>
      <c r="F90" s="2" t="s">
        <v>2233</v>
      </c>
      <c r="G90" s="2" t="s">
        <v>2233</v>
      </c>
      <c r="H90" s="2" t="s">
        <v>2234</v>
      </c>
      <c r="I90" s="2" t="s">
        <v>2234</v>
      </c>
      <c r="J90" s="2" t="s">
        <v>2235</v>
      </c>
      <c r="K90" s="2" t="s">
        <v>2233</v>
      </c>
      <c r="L90" s="2" t="s">
        <v>2233</v>
      </c>
      <c r="M90" s="2" t="s">
        <v>2236</v>
      </c>
      <c r="N90" s="2" t="s">
        <v>2237</v>
      </c>
      <c r="O90" s="2"/>
      <c r="P90" s="2" t="s">
        <v>2238</v>
      </c>
      <c r="Q90" s="2" t="s">
        <v>2239</v>
      </c>
      <c r="R90" s="2" t="s">
        <v>2239</v>
      </c>
      <c r="S90" s="2" t="s">
        <v>2238</v>
      </c>
      <c r="T90" s="2">
        <v>87</v>
      </c>
      <c r="U90" s="2">
        <v>6</v>
      </c>
      <c r="V90" s="2" t="s">
        <v>2240</v>
      </c>
      <c r="W90" s="2"/>
      <c r="X90" s="2"/>
      <c r="Y90" s="2"/>
      <c r="Z90" s="2" t="s">
        <v>2241</v>
      </c>
      <c r="AA90" s="2" t="s">
        <v>2242</v>
      </c>
      <c r="AB90" s="2">
        <v>12</v>
      </c>
      <c r="AC90" s="2" t="s">
        <v>235</v>
      </c>
      <c r="AD90" s="2" t="s">
        <v>2243</v>
      </c>
      <c r="AE90" s="2">
        <v>202</v>
      </c>
      <c r="AF90" s="2" t="s">
        <v>141</v>
      </c>
      <c r="AG90" s="2"/>
      <c r="AH90" s="2"/>
      <c r="AI90" s="2"/>
      <c r="AJ90" s="2"/>
      <c r="AK90" s="2" t="s">
        <v>217</v>
      </c>
      <c r="AL90" s="2" t="s">
        <v>1510</v>
      </c>
      <c r="AM90" s="2" t="s">
        <v>1510</v>
      </c>
      <c r="AN90" s="2" t="s">
        <v>1511</v>
      </c>
      <c r="AO90" s="2" t="s">
        <v>2244</v>
      </c>
      <c r="AP90" s="2">
        <v>713340000</v>
      </c>
      <c r="AQ90" s="2">
        <v>713340000</v>
      </c>
      <c r="AR90" s="2" t="s">
        <v>253</v>
      </c>
      <c r="AS90" s="2">
        <v>80815155</v>
      </c>
      <c r="AT90" s="2" t="s">
        <v>2245</v>
      </c>
      <c r="AU90" s="2"/>
      <c r="AV90" s="2"/>
      <c r="AW90" s="2" t="s">
        <v>336</v>
      </c>
      <c r="AX90" s="2">
        <v>86859437</v>
      </c>
      <c r="AY90" s="2" t="s">
        <v>2246</v>
      </c>
      <c r="AZ90" s="2" t="s">
        <v>2247</v>
      </c>
      <c r="BA90" s="2" t="s">
        <v>2248</v>
      </c>
      <c r="BB90" s="2">
        <v>0</v>
      </c>
      <c r="BC90" s="3" t="str">
        <f>HYPERLINK("https://patentscout.innography.com/share/-j8GPdUt-orqNcwq5ddxZw%3D%3D","KR102368616")</f>
        <v>KR102368616</v>
      </c>
      <c r="BD90" s="2" t="s">
        <v>2249</v>
      </c>
      <c r="BE90" s="2" t="s">
        <v>2250</v>
      </c>
      <c r="BF90" s="2" t="s">
        <v>2251</v>
      </c>
      <c r="BG90" s="2" t="str">
        <f>HYPERLINK("https://patentscout.innography.com/share/-j8GPdUt-orqNcwq5ddxZw%3D%3D/download", "Download PDF")</f>
        <v>Download PDF</v>
      </c>
      <c r="BH90" s="2" t="s">
        <v>2252</v>
      </c>
      <c r="BI90" s="2"/>
      <c r="BJ90" s="2" t="s">
        <v>2253</v>
      </c>
      <c r="BK90" s="2" t="s">
        <v>2253</v>
      </c>
      <c r="BL90" s="2" t="s">
        <v>2253</v>
      </c>
      <c r="BM90" s="2"/>
      <c r="BN90" s="2"/>
      <c r="BO90" s="2"/>
      <c r="BP90" s="2"/>
      <c r="BQ90" s="2"/>
      <c r="BR90" s="2"/>
      <c r="BS90" s="2"/>
      <c r="BT90" s="2"/>
      <c r="BU90" s="2"/>
      <c r="BV90" s="2"/>
      <c r="BW90" s="2"/>
      <c r="BX90" s="2"/>
      <c r="BY90" s="2"/>
      <c r="BZ90" s="2"/>
      <c r="CA90" s="2"/>
      <c r="CB90" s="2"/>
      <c r="CC90" s="2" t="s">
        <v>243</v>
      </c>
      <c r="CD90" s="2" t="str">
        <f>HYPERLINK("https://patentscout.innography.com/share/-j8GPdUt-orqNcwq5ddxZw%3D%3D", "Innography Link")</f>
        <v>Innography Link</v>
      </c>
      <c r="CE90" s="2"/>
      <c r="CF90" s="2"/>
      <c r="CG90" s="2"/>
      <c r="CH90" s="2"/>
      <c r="CI90" s="2"/>
      <c r="CK90" s="2" t="s">
        <v>2254</v>
      </c>
      <c r="CL90" s="2" t="s">
        <v>371</v>
      </c>
      <c r="CM90" s="2" t="s">
        <v>2255</v>
      </c>
      <c r="CN90" s="2" t="s">
        <v>782</v>
      </c>
    </row>
    <row r="91" spans="1:95" ht="152" customHeight="1" x14ac:dyDescent="0.45">
      <c r="A91" s="2">
        <v>0</v>
      </c>
      <c r="B91" s="2">
        <v>3</v>
      </c>
      <c r="C91" s="2" t="s">
        <v>2256</v>
      </c>
      <c r="D91" s="2"/>
      <c r="E91" s="2"/>
      <c r="F91" s="2" t="s">
        <v>1222</v>
      </c>
      <c r="G91" s="2" t="s">
        <v>1222</v>
      </c>
      <c r="H91" s="2" t="s">
        <v>1720</v>
      </c>
      <c r="I91" s="2" t="s">
        <v>1720</v>
      </c>
      <c r="J91" s="2" t="s">
        <v>1721</v>
      </c>
      <c r="K91" s="2" t="s">
        <v>1222</v>
      </c>
      <c r="L91" s="2" t="s">
        <v>1222</v>
      </c>
      <c r="M91" s="2" t="s">
        <v>2257</v>
      </c>
      <c r="N91" s="2" t="s">
        <v>2258</v>
      </c>
      <c r="O91" s="2"/>
      <c r="P91" s="2" t="s">
        <v>2259</v>
      </c>
      <c r="Q91" s="2" t="s">
        <v>2259</v>
      </c>
      <c r="R91" s="2" t="s">
        <v>2259</v>
      </c>
      <c r="S91" s="2" t="s">
        <v>2259</v>
      </c>
      <c r="T91" s="2">
        <v>87</v>
      </c>
      <c r="U91" s="2">
        <v>10</v>
      </c>
      <c r="V91" s="2" t="s">
        <v>2260</v>
      </c>
      <c r="W91" s="2"/>
      <c r="X91" s="2"/>
      <c r="Y91" s="2"/>
      <c r="Z91" s="2" t="s">
        <v>2261</v>
      </c>
      <c r="AA91" s="2" t="s">
        <v>2262</v>
      </c>
      <c r="AB91" s="2">
        <v>20</v>
      </c>
      <c r="AC91" s="2" t="s">
        <v>235</v>
      </c>
      <c r="AD91" s="2" t="s">
        <v>2263</v>
      </c>
      <c r="AE91" s="2">
        <v>175</v>
      </c>
      <c r="AF91" s="2" t="s">
        <v>141</v>
      </c>
      <c r="AG91" s="2"/>
      <c r="AH91" s="2"/>
      <c r="AI91" s="2"/>
      <c r="AJ91" s="2"/>
      <c r="AK91" s="2" t="s">
        <v>217</v>
      </c>
      <c r="AL91" s="2" t="s">
        <v>1587</v>
      </c>
      <c r="AM91" s="2" t="s">
        <v>1587</v>
      </c>
      <c r="AN91" s="2" t="s">
        <v>1588</v>
      </c>
      <c r="AO91" s="2" t="s">
        <v>2264</v>
      </c>
      <c r="AP91" s="2">
        <v>340005530</v>
      </c>
      <c r="AQ91" s="2">
        <v>340005530</v>
      </c>
      <c r="AR91" s="2" t="s">
        <v>541</v>
      </c>
      <c r="AS91" s="2">
        <v>81810153</v>
      </c>
      <c r="AT91" s="2" t="s">
        <v>2265</v>
      </c>
      <c r="AU91" s="2"/>
      <c r="AV91" s="2"/>
      <c r="AW91" s="2" t="s">
        <v>336</v>
      </c>
      <c r="AX91" s="2">
        <v>88323813</v>
      </c>
      <c r="AY91" s="2" t="s">
        <v>2266</v>
      </c>
      <c r="AZ91" s="2" t="s">
        <v>2267</v>
      </c>
      <c r="BA91" s="2" t="s">
        <v>1732</v>
      </c>
      <c r="BB91" s="2">
        <v>0</v>
      </c>
      <c r="BC91" s="3" t="str">
        <f>HYPERLINK("https://patentscout.innography.com/share/kS5UPnUUwevudb7aGOrorQ%3D%3D","KR102402580")</f>
        <v>KR102402580</v>
      </c>
      <c r="BD91" s="2" t="s">
        <v>2268</v>
      </c>
      <c r="BE91" s="2" t="s">
        <v>2269</v>
      </c>
      <c r="BF91" s="2" t="s">
        <v>2270</v>
      </c>
      <c r="BG91" s="2" t="str">
        <f>HYPERLINK("https://patentscout.innography.com/share/kS5UPnUUwevudb7aGOrorQ%3D%3D/download", "Download PDF")</f>
        <v>Download PDF</v>
      </c>
      <c r="BH91" s="2" t="s">
        <v>2271</v>
      </c>
      <c r="BI91" s="2"/>
      <c r="BJ91" s="2" t="s">
        <v>2272</v>
      </c>
      <c r="BK91" s="2" t="s">
        <v>2272</v>
      </c>
      <c r="BL91" s="2" t="s">
        <v>2272</v>
      </c>
      <c r="BM91" s="2"/>
      <c r="BN91" s="2"/>
      <c r="BO91" s="2"/>
      <c r="BP91" s="2"/>
      <c r="BQ91" s="2"/>
      <c r="BR91" s="2"/>
      <c r="BS91" s="2"/>
      <c r="BT91" s="2"/>
      <c r="BU91" s="2"/>
      <c r="BV91" s="2"/>
      <c r="BW91" s="2"/>
      <c r="BX91" s="2"/>
      <c r="BY91" s="2"/>
      <c r="BZ91" s="2"/>
      <c r="CA91" s="2"/>
      <c r="CB91" s="2"/>
      <c r="CC91" s="2" t="s">
        <v>243</v>
      </c>
      <c r="CD91" s="2" t="str">
        <f>HYPERLINK("https://patentscout.innography.com/share/kS5UPnUUwevudb7aGOrorQ%3D%3D", "Innography Link")</f>
        <v>Innography Link</v>
      </c>
      <c r="CE91" s="2"/>
      <c r="CF91" s="2"/>
      <c r="CG91" s="2"/>
      <c r="CH91" s="2"/>
      <c r="CI91" s="2"/>
      <c r="CK91" s="2" t="s">
        <v>2273</v>
      </c>
      <c r="CL91" s="2" t="s">
        <v>371</v>
      </c>
      <c r="CM91" s="2" t="s">
        <v>2274</v>
      </c>
      <c r="CN91" s="2" t="s">
        <v>785</v>
      </c>
      <c r="CO91" s="2" t="s">
        <v>2275</v>
      </c>
      <c r="CP91" s="2" t="s">
        <v>2276</v>
      </c>
    </row>
    <row r="92" spans="1:95" ht="152" customHeight="1" x14ac:dyDescent="0.45">
      <c r="A92" s="2">
        <v>0</v>
      </c>
      <c r="B92" s="2">
        <v>4</v>
      </c>
      <c r="C92" s="2" t="s">
        <v>2277</v>
      </c>
      <c r="D92" s="2"/>
      <c r="E92" s="2"/>
      <c r="F92" s="2" t="s">
        <v>1168</v>
      </c>
      <c r="G92" s="2" t="s">
        <v>1168</v>
      </c>
      <c r="H92" s="2" t="s">
        <v>2278</v>
      </c>
      <c r="I92" s="2" t="s">
        <v>1026</v>
      </c>
      <c r="J92" s="2" t="s">
        <v>2279</v>
      </c>
      <c r="K92" s="2" t="s">
        <v>2280</v>
      </c>
      <c r="L92" s="2" t="s">
        <v>2280</v>
      </c>
      <c r="M92" s="2" t="s">
        <v>2281</v>
      </c>
      <c r="N92" s="2" t="s">
        <v>2282</v>
      </c>
      <c r="O92" s="2"/>
      <c r="P92" s="2" t="s">
        <v>2283</v>
      </c>
      <c r="Q92" s="2" t="s">
        <v>2284</v>
      </c>
      <c r="R92" s="2" t="s">
        <v>2285</v>
      </c>
      <c r="S92" s="2" t="s">
        <v>2283</v>
      </c>
      <c r="T92" s="2">
        <v>87</v>
      </c>
      <c r="U92" s="2">
        <v>6</v>
      </c>
      <c r="V92" s="2" t="s">
        <v>2286</v>
      </c>
      <c r="W92" s="2"/>
      <c r="X92" s="2"/>
      <c r="Y92" s="2"/>
      <c r="Z92" s="2" t="s">
        <v>2287</v>
      </c>
      <c r="AA92" s="2" t="s">
        <v>2288</v>
      </c>
      <c r="AB92" s="2">
        <v>10</v>
      </c>
      <c r="AC92" s="2" t="s">
        <v>235</v>
      </c>
      <c r="AD92" s="2" t="s">
        <v>2289</v>
      </c>
      <c r="AE92" s="2">
        <v>249</v>
      </c>
      <c r="AF92" s="2" t="s">
        <v>141</v>
      </c>
      <c r="AG92" s="2"/>
      <c r="AH92" s="2"/>
      <c r="AI92" s="2"/>
      <c r="AJ92" s="2"/>
      <c r="AK92" s="2" t="s">
        <v>217</v>
      </c>
      <c r="AL92" s="2" t="s">
        <v>2290</v>
      </c>
      <c r="AM92" s="2" t="s">
        <v>2290</v>
      </c>
      <c r="AN92" s="2" t="s">
        <v>2291</v>
      </c>
      <c r="AO92" s="2" t="s">
        <v>2292</v>
      </c>
      <c r="AP92" s="2">
        <v>713340000</v>
      </c>
      <c r="AQ92" s="2">
        <v>713340000</v>
      </c>
      <c r="AR92" s="2" t="s">
        <v>253</v>
      </c>
      <c r="AS92" s="2">
        <v>81805341</v>
      </c>
      <c r="AT92" s="2" t="s">
        <v>2293</v>
      </c>
      <c r="AU92" s="2"/>
      <c r="AV92" s="2"/>
      <c r="AW92" s="2" t="s">
        <v>336</v>
      </c>
      <c r="AX92" s="2">
        <v>88323085</v>
      </c>
      <c r="AY92" s="2" t="s">
        <v>2294</v>
      </c>
      <c r="AZ92" s="2" t="s">
        <v>2295</v>
      </c>
      <c r="BA92" s="2" t="s">
        <v>2296</v>
      </c>
      <c r="BB92" s="2">
        <v>0</v>
      </c>
      <c r="BC92" s="3" t="str">
        <f>HYPERLINK("https://patentscout.innography.com/share/_Lno-mrJ4ntRRwGIiGKdNw%3D%3D","KR102442136")</f>
        <v>KR102442136</v>
      </c>
      <c r="BD92" s="2" t="s">
        <v>2297</v>
      </c>
      <c r="BE92" s="2" t="s">
        <v>2298</v>
      </c>
      <c r="BF92" s="2" t="s">
        <v>2299</v>
      </c>
      <c r="BG92" s="2" t="str">
        <f>HYPERLINK("https://patentscout.innography.com/share/_Lno-mrJ4ntRRwGIiGKdNw%3D%3D/download", "Download PDF")</f>
        <v>Download PDF</v>
      </c>
      <c r="BH92" s="2" t="s">
        <v>2300</v>
      </c>
      <c r="BI92" s="2"/>
      <c r="BJ92" s="2" t="s">
        <v>2301</v>
      </c>
      <c r="BK92" s="2" t="s">
        <v>2302</v>
      </c>
      <c r="BL92" s="2" t="s">
        <v>2302</v>
      </c>
      <c r="BM92" s="2"/>
      <c r="BN92" s="2"/>
      <c r="BO92" s="2"/>
      <c r="BP92" s="2"/>
      <c r="BQ92" s="2"/>
      <c r="BR92" s="2"/>
      <c r="BS92" s="2"/>
      <c r="BT92" s="2"/>
      <c r="BU92" s="2"/>
      <c r="BV92" s="2"/>
      <c r="BW92" s="2"/>
      <c r="BX92" s="2"/>
      <c r="BY92" s="2"/>
      <c r="BZ92" s="2"/>
      <c r="CA92" s="2"/>
      <c r="CB92" s="2"/>
      <c r="CC92" s="2" t="s">
        <v>243</v>
      </c>
      <c r="CD92" s="2" t="str">
        <f>HYPERLINK("https://patentscout.innography.com/share/_Lno-mrJ4ntRRwGIiGKdNw%3D%3D", "Innography Link")</f>
        <v>Innography Link</v>
      </c>
      <c r="CE92" s="2" t="s">
        <v>1045</v>
      </c>
      <c r="CF92" s="2" t="s">
        <v>1046</v>
      </c>
      <c r="CG92" s="2" t="s">
        <v>1047</v>
      </c>
      <c r="CH92" s="2" t="s">
        <v>1048</v>
      </c>
      <c r="CI92" s="2"/>
      <c r="CK92" s="2" t="s">
        <v>2303</v>
      </c>
      <c r="CL92" s="2" t="s">
        <v>2304</v>
      </c>
    </row>
    <row r="93" spans="1:95" ht="152" customHeight="1" x14ac:dyDescent="0.45">
      <c r="A93" s="2">
        <v>0</v>
      </c>
      <c r="B93" s="2">
        <v>5</v>
      </c>
      <c r="C93" s="2" t="s">
        <v>2305</v>
      </c>
      <c r="D93" s="2"/>
      <c r="E93" s="2"/>
      <c r="F93" s="2" t="s">
        <v>2306</v>
      </c>
      <c r="G93" s="2" t="s">
        <v>2306</v>
      </c>
      <c r="H93" s="2" t="s">
        <v>2061</v>
      </c>
      <c r="I93" s="2" t="s">
        <v>2061</v>
      </c>
      <c r="J93" s="2" t="s">
        <v>2062</v>
      </c>
      <c r="K93" s="2" t="s">
        <v>2306</v>
      </c>
      <c r="L93" s="2" t="s">
        <v>2306</v>
      </c>
      <c r="M93" s="2" t="s">
        <v>2307</v>
      </c>
      <c r="N93" s="2" t="s">
        <v>2308</v>
      </c>
      <c r="O93" s="2"/>
      <c r="P93" s="2" t="s">
        <v>2309</v>
      </c>
      <c r="Q93" s="2" t="s">
        <v>2310</v>
      </c>
      <c r="R93" s="2" t="s">
        <v>2311</v>
      </c>
      <c r="S93" s="2" t="s">
        <v>2309</v>
      </c>
      <c r="T93" s="2">
        <v>87</v>
      </c>
      <c r="U93" s="2">
        <v>5</v>
      </c>
      <c r="V93" s="2" t="s">
        <v>2312</v>
      </c>
      <c r="W93" s="2"/>
      <c r="X93" s="2"/>
      <c r="Y93" s="2"/>
      <c r="Z93" s="2" t="s">
        <v>2313</v>
      </c>
      <c r="AA93" s="2" t="s">
        <v>2314</v>
      </c>
      <c r="AB93" s="2">
        <v>8</v>
      </c>
      <c r="AC93" s="2" t="s">
        <v>235</v>
      </c>
      <c r="AD93" s="2" t="s">
        <v>2315</v>
      </c>
      <c r="AE93" s="2">
        <v>628</v>
      </c>
      <c r="AF93" s="2" t="s">
        <v>141</v>
      </c>
      <c r="AG93" s="2"/>
      <c r="AH93" s="2"/>
      <c r="AI93" s="2"/>
      <c r="AJ93" s="2"/>
      <c r="AK93" s="2" t="s">
        <v>217</v>
      </c>
      <c r="AL93" s="2" t="s">
        <v>1373</v>
      </c>
      <c r="AM93" s="2" t="s">
        <v>1373</v>
      </c>
      <c r="AN93" s="2" t="s">
        <v>539</v>
      </c>
      <c r="AO93" s="2" t="s">
        <v>2316</v>
      </c>
      <c r="AP93" s="2">
        <v>705348000</v>
      </c>
      <c r="AQ93" s="2">
        <v>705348000</v>
      </c>
      <c r="AR93" s="2" t="s">
        <v>253</v>
      </c>
      <c r="AS93" s="2">
        <v>83446196</v>
      </c>
      <c r="AT93" s="2" t="s">
        <v>2317</v>
      </c>
      <c r="AU93" s="2"/>
      <c r="AV93" s="2"/>
      <c r="AW93" s="2" t="s">
        <v>336</v>
      </c>
      <c r="AX93" s="2">
        <v>91255816</v>
      </c>
      <c r="AY93" s="2" t="s">
        <v>2318</v>
      </c>
      <c r="AZ93" s="2" t="s">
        <v>2319</v>
      </c>
      <c r="BA93" s="2" t="s">
        <v>2073</v>
      </c>
      <c r="BB93" s="2">
        <v>0</v>
      </c>
      <c r="BC93" s="3" t="str">
        <f>HYPERLINK("https://patentscout.innography.com/share/hkMD8vZT8HF-jdBBmwJoUg%3D%3D","KR102446897")</f>
        <v>KR102446897</v>
      </c>
      <c r="BD93" s="2" t="s">
        <v>2320</v>
      </c>
      <c r="BE93" s="2"/>
      <c r="BF93" s="2" t="s">
        <v>2321</v>
      </c>
      <c r="BG93" s="2" t="str">
        <f>HYPERLINK("https://patentscout.innography.com/share/hkMD8vZT8HF-jdBBmwJoUg%3D%3D/download", "Download PDF")</f>
        <v>Download PDF</v>
      </c>
      <c r="BH93" s="2" t="s">
        <v>2322</v>
      </c>
      <c r="BI93" s="2"/>
      <c r="BJ93" s="2" t="s">
        <v>2323</v>
      </c>
      <c r="BK93" s="2" t="s">
        <v>2323</v>
      </c>
      <c r="BL93" s="2" t="s">
        <v>2323</v>
      </c>
      <c r="BM93" s="2"/>
      <c r="BN93" s="2"/>
      <c r="BO93" s="2"/>
      <c r="BP93" s="2"/>
      <c r="BQ93" s="2"/>
      <c r="BR93" s="2"/>
      <c r="BS93" s="2"/>
      <c r="BT93" s="2"/>
      <c r="BU93" s="2"/>
      <c r="BV93" s="2"/>
      <c r="BW93" s="2"/>
      <c r="BX93" s="2"/>
      <c r="BY93" s="2"/>
      <c r="BZ93" s="2"/>
      <c r="CA93" s="2"/>
      <c r="CB93" s="2"/>
      <c r="CC93" s="2" t="s">
        <v>243</v>
      </c>
      <c r="CD93" s="2" t="str">
        <f>HYPERLINK("https://patentscout.innography.com/share/hkMD8vZT8HF-jdBBmwJoUg%3D%3D", "Innography Link")</f>
        <v>Innography Link</v>
      </c>
      <c r="CE93" s="2"/>
      <c r="CF93" s="2"/>
      <c r="CG93" s="2"/>
      <c r="CH93" s="2"/>
      <c r="CI93" s="2"/>
      <c r="CK93" s="2" t="s">
        <v>2324</v>
      </c>
      <c r="CL93" s="2" t="s">
        <v>497</v>
      </c>
      <c r="CM93" s="2" t="s">
        <v>601</v>
      </c>
      <c r="CN93" s="2" t="s">
        <v>854</v>
      </c>
      <c r="CO93" s="2" t="s">
        <v>602</v>
      </c>
    </row>
    <row r="94" spans="1:95" ht="152" customHeight="1" x14ac:dyDescent="0.45">
      <c r="A94" s="2">
        <v>0</v>
      </c>
      <c r="B94" s="2">
        <v>1</v>
      </c>
      <c r="C94" s="2" t="s">
        <v>2325</v>
      </c>
      <c r="D94" s="2"/>
      <c r="E94" s="2"/>
      <c r="F94" s="2" t="s">
        <v>2326</v>
      </c>
      <c r="G94" s="2" t="s">
        <v>2326</v>
      </c>
      <c r="H94" s="2" t="s">
        <v>2327</v>
      </c>
      <c r="I94" s="2" t="s">
        <v>2327</v>
      </c>
      <c r="J94" s="2" t="s">
        <v>2328</v>
      </c>
      <c r="K94" s="2" t="s">
        <v>2326</v>
      </c>
      <c r="L94" s="2" t="s">
        <v>2326</v>
      </c>
      <c r="M94" s="2" t="s">
        <v>2329</v>
      </c>
      <c r="N94" s="2" t="s">
        <v>2330</v>
      </c>
      <c r="O94" s="2"/>
      <c r="P94" s="2" t="s">
        <v>2331</v>
      </c>
      <c r="Q94" s="2" t="s">
        <v>2332</v>
      </c>
      <c r="R94" s="2" t="s">
        <v>2333</v>
      </c>
      <c r="S94" s="2" t="s">
        <v>2331</v>
      </c>
      <c r="T94" s="2">
        <v>87</v>
      </c>
      <c r="U94" s="2">
        <v>4</v>
      </c>
      <c r="V94" s="2" t="s">
        <v>2334</v>
      </c>
      <c r="W94" s="2"/>
      <c r="X94" s="2"/>
      <c r="Y94" s="2"/>
      <c r="Z94" s="2" t="s">
        <v>2335</v>
      </c>
      <c r="AA94" s="2" t="s">
        <v>2336</v>
      </c>
      <c r="AB94" s="2">
        <v>7</v>
      </c>
      <c r="AC94" s="2" t="s">
        <v>235</v>
      </c>
      <c r="AD94" s="2" t="s">
        <v>2337</v>
      </c>
      <c r="AE94" s="2">
        <v>197</v>
      </c>
      <c r="AF94" s="2" t="s">
        <v>141</v>
      </c>
      <c r="AG94" s="2"/>
      <c r="AH94" s="2"/>
      <c r="AI94" s="2"/>
      <c r="AJ94" s="2"/>
      <c r="AK94" s="2" t="s">
        <v>217</v>
      </c>
      <c r="AL94" s="2" t="s">
        <v>2338</v>
      </c>
      <c r="AM94" s="2" t="s">
        <v>2338</v>
      </c>
      <c r="AN94" s="2" t="s">
        <v>1878</v>
      </c>
      <c r="AO94" s="2" t="s">
        <v>2339</v>
      </c>
      <c r="AP94" s="2">
        <v>705348000</v>
      </c>
      <c r="AQ94" s="2">
        <v>705348000</v>
      </c>
      <c r="AR94" s="2" t="s">
        <v>253</v>
      </c>
      <c r="AS94" s="2">
        <v>83600505</v>
      </c>
      <c r="AT94" s="2" t="s">
        <v>2340</v>
      </c>
      <c r="AU94" s="2"/>
      <c r="AV94" s="2"/>
      <c r="AW94" s="2" t="s">
        <v>336</v>
      </c>
      <c r="AX94" s="2">
        <v>91636850</v>
      </c>
      <c r="AY94" s="2" t="s">
        <v>2341</v>
      </c>
      <c r="AZ94" s="2" t="s">
        <v>2342</v>
      </c>
      <c r="BA94" s="2" t="s">
        <v>2343</v>
      </c>
      <c r="BB94" s="2">
        <v>0</v>
      </c>
      <c r="BC94" s="3" t="str">
        <f>HYPERLINK("https://patentscout.innography.com/share/5mmKWTDxI0DIhowkNO7gZw%3D%3D","KR102450175")</f>
        <v>KR102450175</v>
      </c>
      <c r="BD94" s="2" t="s">
        <v>2344</v>
      </c>
      <c r="BE94" s="2" t="s">
        <v>2345</v>
      </c>
      <c r="BF94" s="2" t="s">
        <v>2346</v>
      </c>
      <c r="BG94" s="2" t="str">
        <f>HYPERLINK("https://patentscout.innography.com/share/5mmKWTDxI0DIhowkNO7gZw%3D%3D/download", "Download PDF")</f>
        <v>Download PDF</v>
      </c>
      <c r="BH94" s="2" t="s">
        <v>2347</v>
      </c>
      <c r="BI94" s="2"/>
      <c r="BJ94" s="2" t="s">
        <v>2348</v>
      </c>
      <c r="BK94" s="2" t="s">
        <v>2348</v>
      </c>
      <c r="BL94" s="2" t="s">
        <v>2348</v>
      </c>
      <c r="BM94" s="2"/>
      <c r="BN94" s="2"/>
      <c r="BO94" s="2"/>
      <c r="BP94" s="2"/>
      <c r="BQ94" s="2"/>
      <c r="BR94" s="2"/>
      <c r="BS94" s="2"/>
      <c r="BT94" s="2"/>
      <c r="BU94" s="2"/>
      <c r="BV94" s="2"/>
      <c r="BW94" s="2"/>
      <c r="BX94" s="2"/>
      <c r="BY94" s="2"/>
      <c r="BZ94" s="2"/>
      <c r="CA94" s="2"/>
      <c r="CB94" s="2"/>
      <c r="CC94" s="2" t="s">
        <v>243</v>
      </c>
      <c r="CD94" s="2" t="str">
        <f>HYPERLINK("https://patentscout.innography.com/share/5mmKWTDxI0DIhowkNO7gZw%3D%3D", "Innography Link")</f>
        <v>Innography Link</v>
      </c>
      <c r="CE94" s="2"/>
      <c r="CF94" s="2"/>
      <c r="CG94" s="2"/>
      <c r="CH94" s="2"/>
      <c r="CI94" s="2"/>
      <c r="CK94" s="2" t="s">
        <v>2349</v>
      </c>
    </row>
    <row r="95" spans="1:95" ht="152" customHeight="1" x14ac:dyDescent="0.45">
      <c r="A95" s="2">
        <v>2</v>
      </c>
      <c r="B95" s="2">
        <v>0</v>
      </c>
      <c r="C95" s="2"/>
      <c r="D95" s="2" t="s">
        <v>2350</v>
      </c>
      <c r="E95" s="2" t="s">
        <v>731</v>
      </c>
      <c r="F95" s="2"/>
      <c r="G95" s="2" t="s">
        <v>731</v>
      </c>
      <c r="H95" s="2" t="s">
        <v>2351</v>
      </c>
      <c r="I95" s="2" t="s">
        <v>2351</v>
      </c>
      <c r="J95" s="2" t="s">
        <v>2352</v>
      </c>
      <c r="K95" s="2" t="s">
        <v>731</v>
      </c>
      <c r="L95" s="2" t="s">
        <v>731</v>
      </c>
      <c r="M95" s="2" t="s">
        <v>2353</v>
      </c>
      <c r="N95" s="2" t="s">
        <v>2354</v>
      </c>
      <c r="O95" s="2" t="s">
        <v>2355</v>
      </c>
      <c r="P95" s="2" t="s">
        <v>2356</v>
      </c>
      <c r="Q95" s="2" t="s">
        <v>2357</v>
      </c>
      <c r="R95" s="2" t="s">
        <v>2358</v>
      </c>
      <c r="S95" s="2" t="s">
        <v>2356</v>
      </c>
      <c r="T95" s="2">
        <v>87</v>
      </c>
      <c r="U95" s="2">
        <v>62</v>
      </c>
      <c r="V95" s="2" t="s">
        <v>2359</v>
      </c>
      <c r="W95" s="2"/>
      <c r="X95" s="2"/>
      <c r="Y95" s="2"/>
      <c r="Z95" s="2" t="s">
        <v>2360</v>
      </c>
      <c r="AA95" s="2" t="s">
        <v>2361</v>
      </c>
      <c r="AB95" s="2">
        <v>10</v>
      </c>
      <c r="AC95" s="2" t="s">
        <v>214</v>
      </c>
      <c r="AD95" s="2" t="s">
        <v>2362</v>
      </c>
      <c r="AE95" s="2">
        <v>249</v>
      </c>
      <c r="AF95" s="2" t="s">
        <v>141</v>
      </c>
      <c r="AG95" s="2"/>
      <c r="AH95" s="2"/>
      <c r="AI95" s="2"/>
      <c r="AJ95" s="2"/>
      <c r="AK95" s="2" t="s">
        <v>1816</v>
      </c>
      <c r="AL95" s="2" t="s">
        <v>2363</v>
      </c>
      <c r="AM95" s="2" t="s">
        <v>2364</v>
      </c>
      <c r="AN95" s="2" t="s">
        <v>486</v>
      </c>
      <c r="AO95" s="2" t="s">
        <v>2365</v>
      </c>
      <c r="AP95" s="2">
        <v>705348000</v>
      </c>
      <c r="AQ95" s="2">
        <v>705348000</v>
      </c>
      <c r="AR95" s="2" t="s">
        <v>514</v>
      </c>
      <c r="AS95" s="2">
        <v>79184400</v>
      </c>
      <c r="AT95" s="2" t="s">
        <v>2366</v>
      </c>
      <c r="AU95" s="2"/>
      <c r="AV95" s="2"/>
      <c r="AW95" s="2" t="s">
        <v>1821</v>
      </c>
      <c r="AX95" s="2">
        <v>84104468</v>
      </c>
      <c r="AY95" s="2" t="s">
        <v>2367</v>
      </c>
      <c r="AZ95" s="2" t="s">
        <v>2368</v>
      </c>
      <c r="BA95" s="2" t="s">
        <v>2369</v>
      </c>
      <c r="BB95" s="2">
        <v>0</v>
      </c>
      <c r="BC95" s="3" t="str">
        <f>HYPERLINK("https://patentscout.innography.com/share/kHbqyf0iWoLbsIJpoVr2sQ%3D%3D","CN113793059")</f>
        <v>CN113793059</v>
      </c>
      <c r="BD95" s="2" t="s">
        <v>2370</v>
      </c>
      <c r="BE95" s="2" t="s">
        <v>2371</v>
      </c>
      <c r="BF95" s="2" t="s">
        <v>2372</v>
      </c>
      <c r="BG95" s="2" t="str">
        <f>HYPERLINK("https://patentscout.innography.com/share/kHbqyf0iWoLbsIJpoVr2sQ%3D%3D/download", "Download PDF")</f>
        <v>Download PDF</v>
      </c>
      <c r="BH95" s="2" t="s">
        <v>2373</v>
      </c>
      <c r="BI95" s="2"/>
      <c r="BJ95" s="2" t="s">
        <v>2367</v>
      </c>
      <c r="BK95" s="2" t="s">
        <v>2367</v>
      </c>
      <c r="BL95" s="2" t="s">
        <v>2367</v>
      </c>
      <c r="BM95" s="2"/>
      <c r="BN95" s="2"/>
      <c r="BO95" s="2"/>
      <c r="BP95" s="2"/>
      <c r="BQ95" s="2"/>
      <c r="BR95" s="2"/>
      <c r="BS95" s="2"/>
      <c r="BT95" s="2"/>
      <c r="BU95" s="2"/>
      <c r="BV95" s="2"/>
      <c r="BW95" s="2"/>
      <c r="BX95" s="2"/>
      <c r="BY95" s="2"/>
      <c r="BZ95" s="2"/>
      <c r="CA95" s="2"/>
      <c r="CB95" s="2"/>
      <c r="CC95" s="2" t="s">
        <v>1829</v>
      </c>
      <c r="CD95" s="2" t="str">
        <f>HYPERLINK("https://patentscout.innography.com/share/kHbqyf0iWoLbsIJpoVr2sQ%3D%3D", "Innography Link")</f>
        <v>Innography Link</v>
      </c>
      <c r="CE95" s="2" t="s">
        <v>1045</v>
      </c>
      <c r="CF95" s="2" t="s">
        <v>2374</v>
      </c>
      <c r="CG95" s="2" t="s">
        <v>1047</v>
      </c>
      <c r="CH95" s="2" t="s">
        <v>1048</v>
      </c>
      <c r="CI95" s="2"/>
      <c r="CK95" s="2" t="s">
        <v>2375</v>
      </c>
    </row>
    <row r="96" spans="1:95" ht="152" customHeight="1" x14ac:dyDescent="0.45">
      <c r="A96" s="2">
        <v>0</v>
      </c>
      <c r="B96" s="2">
        <v>3</v>
      </c>
      <c r="C96" s="2" t="s">
        <v>2376</v>
      </c>
      <c r="D96" s="2"/>
      <c r="E96" s="2"/>
      <c r="F96" s="2" t="s">
        <v>755</v>
      </c>
      <c r="G96" s="2" t="s">
        <v>755</v>
      </c>
      <c r="H96" s="2" t="s">
        <v>1269</v>
      </c>
      <c r="I96" s="2" t="s">
        <v>1269</v>
      </c>
      <c r="J96" s="2" t="s">
        <v>1270</v>
      </c>
      <c r="K96" s="2" t="s">
        <v>755</v>
      </c>
      <c r="L96" s="2" t="s">
        <v>755</v>
      </c>
      <c r="M96" s="2" t="s">
        <v>2377</v>
      </c>
      <c r="N96" s="2" t="s">
        <v>2378</v>
      </c>
      <c r="O96" s="2"/>
      <c r="P96" s="2" t="s">
        <v>2379</v>
      </c>
      <c r="Q96" s="2" t="s">
        <v>2379</v>
      </c>
      <c r="R96" s="2" t="s">
        <v>2380</v>
      </c>
      <c r="S96" s="2" t="s">
        <v>2379</v>
      </c>
      <c r="T96" s="2">
        <v>87</v>
      </c>
      <c r="U96" s="2">
        <v>8</v>
      </c>
      <c r="V96" s="2" t="s">
        <v>2381</v>
      </c>
      <c r="W96" s="2"/>
      <c r="X96" s="2"/>
      <c r="Y96" s="2"/>
      <c r="Z96" s="2" t="s">
        <v>2382</v>
      </c>
      <c r="AA96" s="2" t="s">
        <v>2383</v>
      </c>
      <c r="AB96" s="2">
        <v>16</v>
      </c>
      <c r="AC96" s="2" t="s">
        <v>235</v>
      </c>
      <c r="AD96" s="2" t="s">
        <v>2384</v>
      </c>
      <c r="AE96" s="2">
        <v>700</v>
      </c>
      <c r="AF96" s="2" t="s">
        <v>141</v>
      </c>
      <c r="AG96" s="2"/>
      <c r="AH96" s="2"/>
      <c r="AI96" s="2"/>
      <c r="AJ96" s="2"/>
      <c r="AK96" s="2" t="s">
        <v>217</v>
      </c>
      <c r="AL96" s="2" t="s">
        <v>1587</v>
      </c>
      <c r="AM96" s="2" t="s">
        <v>1587</v>
      </c>
      <c r="AN96" s="2" t="s">
        <v>1588</v>
      </c>
      <c r="AO96" s="2" t="s">
        <v>2385</v>
      </c>
      <c r="AP96" s="2">
        <v>340005530</v>
      </c>
      <c r="AQ96" s="2">
        <v>340005530</v>
      </c>
      <c r="AR96" s="2" t="s">
        <v>253</v>
      </c>
      <c r="AS96" s="2">
        <v>81583140</v>
      </c>
      <c r="AT96" s="2" t="s">
        <v>2386</v>
      </c>
      <c r="AU96" s="2"/>
      <c r="AV96" s="2"/>
      <c r="AW96" s="2" t="s">
        <v>336</v>
      </c>
      <c r="AX96" s="2">
        <v>87975620</v>
      </c>
      <c r="AY96" s="2" t="s">
        <v>2387</v>
      </c>
      <c r="AZ96" s="2" t="s">
        <v>2388</v>
      </c>
      <c r="BA96" s="2" t="s">
        <v>1284</v>
      </c>
      <c r="BB96" s="2">
        <v>0</v>
      </c>
      <c r="BC96" s="3" t="str">
        <f>HYPERLINK("https://patentscout.innography.com/share/LKmEar-liNSo0awOKUKjUg%3D%3D","KR102395940")</f>
        <v>KR102395940</v>
      </c>
      <c r="BD96" s="2" t="s">
        <v>2389</v>
      </c>
      <c r="BE96" s="2" t="s">
        <v>2390</v>
      </c>
      <c r="BF96" s="2" t="s">
        <v>2391</v>
      </c>
      <c r="BG96" s="2" t="str">
        <f>HYPERLINK("https://patentscout.innography.com/share/LKmEar-liNSo0awOKUKjUg%3D%3D/download", "Download PDF")</f>
        <v>Download PDF</v>
      </c>
      <c r="BH96" s="2" t="s">
        <v>2392</v>
      </c>
      <c r="BI96" s="2"/>
      <c r="BJ96" s="2" t="s">
        <v>2393</v>
      </c>
      <c r="BK96" s="2" t="s">
        <v>2393</v>
      </c>
      <c r="BL96" s="2" t="s">
        <v>2393</v>
      </c>
      <c r="BM96" s="2"/>
      <c r="BN96" s="2"/>
      <c r="BO96" s="2"/>
      <c r="BP96" s="2"/>
      <c r="BQ96" s="2"/>
      <c r="BR96" s="2"/>
      <c r="BS96" s="2"/>
      <c r="BT96" s="2"/>
      <c r="BU96" s="2"/>
      <c r="BV96" s="2"/>
      <c r="BW96" s="2"/>
      <c r="BX96" s="2"/>
      <c r="BY96" s="2"/>
      <c r="BZ96" s="2"/>
      <c r="CA96" s="2"/>
      <c r="CB96" s="2"/>
      <c r="CC96" s="2" t="s">
        <v>243</v>
      </c>
      <c r="CD96" s="2" t="str">
        <f>HYPERLINK("https://patentscout.innography.com/share/LKmEar-liNSo0awOKUKjUg%3D%3D", "Innography Link")</f>
        <v>Innography Link</v>
      </c>
      <c r="CE96" s="2"/>
      <c r="CF96" s="2"/>
      <c r="CG96" s="2"/>
      <c r="CH96" s="2"/>
      <c r="CI96" s="2"/>
      <c r="CK96" s="2" t="s">
        <v>2394</v>
      </c>
    </row>
    <row r="97" spans="1:96" ht="152" customHeight="1" x14ac:dyDescent="0.45">
      <c r="A97" s="2">
        <v>0</v>
      </c>
      <c r="B97" s="2">
        <v>0</v>
      </c>
      <c r="C97" s="2"/>
      <c r="D97" s="2"/>
      <c r="E97" s="2" t="s">
        <v>2395</v>
      </c>
      <c r="F97" s="2"/>
      <c r="G97" s="2" t="s">
        <v>2395</v>
      </c>
      <c r="H97" s="2" t="s">
        <v>2396</v>
      </c>
      <c r="I97" s="2" t="s">
        <v>2396</v>
      </c>
      <c r="J97" s="2" t="s">
        <v>2397</v>
      </c>
      <c r="K97" s="2" t="s">
        <v>2395</v>
      </c>
      <c r="L97" s="2" t="s">
        <v>2395</v>
      </c>
      <c r="M97" s="2" t="s">
        <v>2398</v>
      </c>
      <c r="N97" s="2" t="s">
        <v>2399</v>
      </c>
      <c r="O97" s="2"/>
      <c r="P97" s="2" t="s">
        <v>2400</v>
      </c>
      <c r="Q97" s="2"/>
      <c r="R97" s="2"/>
      <c r="S97" s="2" t="s">
        <v>2400</v>
      </c>
      <c r="T97" s="2">
        <v>87</v>
      </c>
      <c r="U97" s="2">
        <v>4</v>
      </c>
      <c r="V97" s="2" t="s">
        <v>2401</v>
      </c>
      <c r="W97" s="2"/>
      <c r="X97" s="2"/>
      <c r="Y97" s="2"/>
      <c r="Z97" s="2" t="s">
        <v>2402</v>
      </c>
      <c r="AA97" s="2" t="s">
        <v>2403</v>
      </c>
      <c r="AB97" s="2">
        <v>2</v>
      </c>
      <c r="AC97" s="2" t="s">
        <v>214</v>
      </c>
      <c r="AD97" s="2" t="s">
        <v>2400</v>
      </c>
      <c r="AE97" s="2">
        <v>73</v>
      </c>
      <c r="AF97" s="2" t="s">
        <v>141</v>
      </c>
      <c r="AG97" s="2"/>
      <c r="AH97" s="2"/>
      <c r="AI97" s="2"/>
      <c r="AJ97" s="2"/>
      <c r="AK97" s="2" t="s">
        <v>217</v>
      </c>
      <c r="AL97" s="2" t="s">
        <v>298</v>
      </c>
      <c r="AM97" s="2" t="s">
        <v>2404</v>
      </c>
      <c r="AN97" s="2" t="s">
        <v>359</v>
      </c>
      <c r="AO97" s="2" t="s">
        <v>2405</v>
      </c>
      <c r="AP97" s="2">
        <v>705348000</v>
      </c>
      <c r="AQ97" s="2">
        <v>705348000</v>
      </c>
      <c r="AR97" s="2" t="s">
        <v>253</v>
      </c>
      <c r="AS97" s="2">
        <v>83278872</v>
      </c>
      <c r="AT97" s="2" t="s">
        <v>2406</v>
      </c>
      <c r="AU97" s="2"/>
      <c r="AV97" s="2"/>
      <c r="AW97" s="2" t="s">
        <v>219</v>
      </c>
      <c r="AX97" s="2">
        <v>90787576</v>
      </c>
      <c r="AY97" s="2" t="s">
        <v>2407</v>
      </c>
      <c r="AZ97" s="2" t="s">
        <v>2408</v>
      </c>
      <c r="BA97" s="2" t="s">
        <v>2409</v>
      </c>
      <c r="BB97" s="2">
        <v>0</v>
      </c>
      <c r="BC97" s="3" t="str">
        <f>HYPERLINK("https://patentscout.innography.com/share/dZyYR19f_lCAMDoLuTiAGw%3D%3D","KR20220125195")</f>
        <v>KR20220125195</v>
      </c>
      <c r="BD97" s="2" t="s">
        <v>2410</v>
      </c>
      <c r="BE97" s="2"/>
      <c r="BF97" s="2" t="s">
        <v>2411</v>
      </c>
      <c r="BG97" s="2" t="str">
        <f>HYPERLINK("https://patentscout.innography.com/share/dZyYR19f_lCAMDoLuTiAGw%3D%3D/download", "Download PDF")</f>
        <v>Download PDF</v>
      </c>
      <c r="BH97" s="2" t="s">
        <v>2412</v>
      </c>
      <c r="BI97" s="2"/>
      <c r="BJ97" s="2" t="s">
        <v>2407</v>
      </c>
      <c r="BK97" s="2" t="s">
        <v>2407</v>
      </c>
      <c r="BL97" s="2" t="s">
        <v>2407</v>
      </c>
      <c r="BM97" s="2"/>
      <c r="BN97" s="2"/>
      <c r="BO97" s="2"/>
      <c r="BP97" s="2"/>
      <c r="BQ97" s="2"/>
      <c r="BR97" s="2"/>
      <c r="BS97" s="2"/>
      <c r="BT97" s="2"/>
      <c r="BU97" s="2"/>
      <c r="BV97" s="2"/>
      <c r="BW97" s="2"/>
      <c r="BX97" s="2"/>
      <c r="BY97" s="2"/>
      <c r="BZ97" s="2"/>
      <c r="CA97" s="2"/>
      <c r="CB97" s="2"/>
      <c r="CC97" s="2" t="s">
        <v>228</v>
      </c>
      <c r="CD97" s="2" t="str">
        <f>HYPERLINK("https://patentscout.innography.com/share/dZyYR19f_lCAMDoLuTiAGw%3D%3D", "Innography Link")</f>
        <v>Innography Link</v>
      </c>
      <c r="CE97" s="2"/>
      <c r="CF97" s="2"/>
      <c r="CG97" s="2"/>
      <c r="CH97" s="2"/>
      <c r="CI97" s="2"/>
      <c r="CK97" s="2" t="s">
        <v>2413</v>
      </c>
      <c r="CL97" s="2" t="s">
        <v>2414</v>
      </c>
    </row>
    <row r="98" spans="1:96" ht="152" customHeight="1" x14ac:dyDescent="0.45">
      <c r="A98" s="2">
        <v>0</v>
      </c>
      <c r="B98" s="2">
        <v>7</v>
      </c>
      <c r="C98" s="2" t="s">
        <v>2415</v>
      </c>
      <c r="D98" s="2"/>
      <c r="E98" s="2"/>
      <c r="F98" s="2" t="s">
        <v>2416</v>
      </c>
      <c r="G98" s="2" t="s">
        <v>2416</v>
      </c>
      <c r="H98" s="2" t="s">
        <v>426</v>
      </c>
      <c r="I98" s="2" t="s">
        <v>426</v>
      </c>
      <c r="J98" s="2" t="s">
        <v>427</v>
      </c>
      <c r="K98" s="2" t="s">
        <v>2416</v>
      </c>
      <c r="L98" s="2" t="s">
        <v>2416</v>
      </c>
      <c r="M98" s="2" t="s">
        <v>2417</v>
      </c>
      <c r="N98" s="2" t="s">
        <v>2418</v>
      </c>
      <c r="O98" s="2"/>
      <c r="P98" s="2" t="s">
        <v>2419</v>
      </c>
      <c r="Q98" s="2" t="s">
        <v>2419</v>
      </c>
      <c r="R98" s="2" t="s">
        <v>2420</v>
      </c>
      <c r="S98" s="2" t="s">
        <v>2419</v>
      </c>
      <c r="T98" s="2">
        <v>87</v>
      </c>
      <c r="U98" s="2">
        <v>4</v>
      </c>
      <c r="V98" s="2" t="s">
        <v>2421</v>
      </c>
      <c r="W98" s="2"/>
      <c r="X98" s="2"/>
      <c r="Y98" s="2"/>
      <c r="Z98" s="2" t="s">
        <v>2422</v>
      </c>
      <c r="AA98" s="2" t="s">
        <v>2423</v>
      </c>
      <c r="AB98" s="2">
        <v>2</v>
      </c>
      <c r="AC98" s="2" t="s">
        <v>235</v>
      </c>
      <c r="AD98" s="2" t="s">
        <v>2424</v>
      </c>
      <c r="AE98" s="2">
        <v>848</v>
      </c>
      <c r="AF98" s="2" t="s">
        <v>141</v>
      </c>
      <c r="AG98" s="2"/>
      <c r="AH98" s="2"/>
      <c r="AI98" s="2"/>
      <c r="AJ98" s="2"/>
      <c r="AK98" s="2" t="s">
        <v>217</v>
      </c>
      <c r="AL98" s="2" t="s">
        <v>298</v>
      </c>
      <c r="AM98" s="2" t="s">
        <v>298</v>
      </c>
      <c r="AN98" s="2" t="s">
        <v>359</v>
      </c>
      <c r="AO98" s="2" t="s">
        <v>2425</v>
      </c>
      <c r="AP98" s="2">
        <v>705348000</v>
      </c>
      <c r="AQ98" s="2">
        <v>705348000</v>
      </c>
      <c r="AR98" s="2" t="s">
        <v>253</v>
      </c>
      <c r="AS98" s="2">
        <v>83452027</v>
      </c>
      <c r="AT98" s="2" t="s">
        <v>2426</v>
      </c>
      <c r="AU98" s="2"/>
      <c r="AV98" s="2"/>
      <c r="AW98" s="2" t="s">
        <v>336</v>
      </c>
      <c r="AX98" s="2">
        <v>91255877</v>
      </c>
      <c r="AY98" s="2" t="s">
        <v>2427</v>
      </c>
      <c r="AZ98" s="2" t="s">
        <v>2428</v>
      </c>
      <c r="BA98" s="2" t="s">
        <v>437</v>
      </c>
      <c r="BB98" s="2">
        <v>0</v>
      </c>
      <c r="BC98" s="3" t="str">
        <f>HYPERLINK("https://patentscout.innography.com/share/-t_UU4JyYexqn4zkG2jiLw%3D%3D","KR102447171")</f>
        <v>KR102447171</v>
      </c>
      <c r="BD98" s="2" t="s">
        <v>2429</v>
      </c>
      <c r="BE98" s="2" t="s">
        <v>2430</v>
      </c>
      <c r="BF98" s="2" t="s">
        <v>2431</v>
      </c>
      <c r="BG98" s="2" t="str">
        <f>HYPERLINK("https://patentscout.innography.com/share/-t_UU4JyYexqn4zkG2jiLw%3D%3D/download", "Download PDF")</f>
        <v>Download PDF</v>
      </c>
      <c r="BH98" s="2" t="s">
        <v>2432</v>
      </c>
      <c r="BI98" s="2"/>
      <c r="BJ98" s="2" t="s">
        <v>2433</v>
      </c>
      <c r="BK98" s="2" t="s">
        <v>2433</v>
      </c>
      <c r="BL98" s="2" t="s">
        <v>2433</v>
      </c>
      <c r="BM98" s="2"/>
      <c r="BN98" s="2"/>
      <c r="BO98" s="2"/>
      <c r="BP98" s="2"/>
      <c r="BQ98" s="2"/>
      <c r="BR98" s="2"/>
      <c r="BS98" s="2"/>
      <c r="BT98" s="2"/>
      <c r="BU98" s="2"/>
      <c r="BV98" s="2"/>
      <c r="BW98" s="2"/>
      <c r="BX98" s="2"/>
      <c r="BY98" s="2"/>
      <c r="BZ98" s="2"/>
      <c r="CA98" s="2"/>
      <c r="CB98" s="2"/>
      <c r="CC98" s="2" t="s">
        <v>243</v>
      </c>
      <c r="CD98" s="2" t="str">
        <f>HYPERLINK("https://patentscout.innography.com/share/-t_UU4JyYexqn4zkG2jiLw%3D%3D", "Innography Link")</f>
        <v>Innography Link</v>
      </c>
      <c r="CE98" s="2"/>
      <c r="CF98" s="2"/>
      <c r="CG98" s="2"/>
      <c r="CH98" s="2"/>
      <c r="CI98" s="2"/>
      <c r="CK98" s="2" t="s">
        <v>2434</v>
      </c>
      <c r="CL98" s="2" t="s">
        <v>780</v>
      </c>
    </row>
    <row r="99" spans="1:96" ht="152" customHeight="1" x14ac:dyDescent="0.45">
      <c r="A99" s="2">
        <v>0</v>
      </c>
      <c r="B99" s="2">
        <v>1</v>
      </c>
      <c r="C99" s="2" t="s">
        <v>2435</v>
      </c>
      <c r="D99" s="2"/>
      <c r="E99" s="2"/>
      <c r="F99" s="2" t="s">
        <v>2436</v>
      </c>
      <c r="G99" s="2" t="s">
        <v>2436</v>
      </c>
      <c r="H99" s="2" t="s">
        <v>981</v>
      </c>
      <c r="I99" s="2" t="s">
        <v>981</v>
      </c>
      <c r="J99" s="2" t="s">
        <v>2437</v>
      </c>
      <c r="K99" s="2" t="s">
        <v>2436</v>
      </c>
      <c r="L99" s="2" t="s">
        <v>2436</v>
      </c>
      <c r="M99" s="2" t="s">
        <v>2438</v>
      </c>
      <c r="N99" s="2" t="s">
        <v>2439</v>
      </c>
      <c r="O99" s="2"/>
      <c r="P99" s="2" t="s">
        <v>2440</v>
      </c>
      <c r="Q99" s="2" t="s">
        <v>2440</v>
      </c>
      <c r="R99" s="2" t="s">
        <v>2441</v>
      </c>
      <c r="S99" s="2" t="s">
        <v>2440</v>
      </c>
      <c r="T99" s="2">
        <v>87</v>
      </c>
      <c r="U99" s="2">
        <v>4</v>
      </c>
      <c r="V99" s="2" t="s">
        <v>2442</v>
      </c>
      <c r="W99" s="2"/>
      <c r="X99" s="2"/>
      <c r="Y99" s="2"/>
      <c r="Z99" s="2" t="s">
        <v>2443</v>
      </c>
      <c r="AA99" s="2" t="s">
        <v>2444</v>
      </c>
      <c r="AB99" s="2">
        <v>8</v>
      </c>
      <c r="AC99" s="2" t="s">
        <v>235</v>
      </c>
      <c r="AD99" s="2" t="s">
        <v>2445</v>
      </c>
      <c r="AE99" s="2">
        <v>327</v>
      </c>
      <c r="AF99" s="2" t="s">
        <v>141</v>
      </c>
      <c r="AG99" s="2"/>
      <c r="AH99" s="2"/>
      <c r="AI99" s="2"/>
      <c r="AJ99" s="2"/>
      <c r="AK99" s="2" t="s">
        <v>217</v>
      </c>
      <c r="AL99" s="2" t="s">
        <v>298</v>
      </c>
      <c r="AM99" s="2" t="s">
        <v>298</v>
      </c>
      <c r="AN99" s="2" t="s">
        <v>359</v>
      </c>
      <c r="AO99" s="2" t="s">
        <v>2446</v>
      </c>
      <c r="AP99" s="2">
        <v>705348000</v>
      </c>
      <c r="AQ99" s="2">
        <v>705348000</v>
      </c>
      <c r="AR99" s="2" t="s">
        <v>253</v>
      </c>
      <c r="AS99" s="2">
        <v>83598248</v>
      </c>
      <c r="AT99" s="2" t="s">
        <v>2447</v>
      </c>
      <c r="AU99" s="2"/>
      <c r="AV99" s="2"/>
      <c r="AW99" s="2" t="s">
        <v>336</v>
      </c>
      <c r="AX99" s="2">
        <v>91637560</v>
      </c>
      <c r="AY99" s="2" t="s">
        <v>2448</v>
      </c>
      <c r="AZ99" s="2" t="s">
        <v>2449</v>
      </c>
      <c r="BA99" s="2" t="s">
        <v>2450</v>
      </c>
      <c r="BB99" s="2">
        <v>0</v>
      </c>
      <c r="BC99" s="3" t="str">
        <f>HYPERLINK("https://patentscout.innography.com/share/_zFjvIXL_JD5Kk2u2Y3W-A%3D%3D","KR102453644")</f>
        <v>KR102453644</v>
      </c>
      <c r="BD99" s="2" t="s">
        <v>2451</v>
      </c>
      <c r="BE99" s="2" t="s">
        <v>2452</v>
      </c>
      <c r="BF99" s="2" t="s">
        <v>2453</v>
      </c>
      <c r="BG99" s="2" t="str">
        <f>HYPERLINK("https://patentscout.innography.com/share/_zFjvIXL_JD5Kk2u2Y3W-A%3D%3D/download", "Download PDF")</f>
        <v>Download PDF</v>
      </c>
      <c r="BH99" s="2" t="s">
        <v>2454</v>
      </c>
      <c r="BI99" s="2"/>
      <c r="BJ99" s="2" t="s">
        <v>2455</v>
      </c>
      <c r="BK99" s="2" t="s">
        <v>2455</v>
      </c>
      <c r="BL99" s="2" t="s">
        <v>2455</v>
      </c>
      <c r="BM99" s="2"/>
      <c r="BN99" s="2"/>
      <c r="BO99" s="2"/>
      <c r="BP99" s="2"/>
      <c r="BQ99" s="2"/>
      <c r="BR99" s="2"/>
      <c r="BS99" s="2"/>
      <c r="BT99" s="2"/>
      <c r="BU99" s="2"/>
      <c r="BV99" s="2"/>
      <c r="BW99" s="2"/>
      <c r="BX99" s="2"/>
      <c r="BY99" s="2"/>
      <c r="BZ99" s="2"/>
      <c r="CA99" s="2"/>
      <c r="CB99" s="2"/>
      <c r="CC99" s="2" t="s">
        <v>243</v>
      </c>
      <c r="CD99" s="2" t="str">
        <f>HYPERLINK("https://patentscout.innography.com/share/_zFjvIXL_JD5Kk2u2Y3W-A%3D%3D", "Innography Link")</f>
        <v>Innography Link</v>
      </c>
      <c r="CE99" s="2"/>
      <c r="CF99" s="2"/>
      <c r="CG99" s="2"/>
      <c r="CH99" s="2"/>
      <c r="CI99" s="2"/>
      <c r="CK99" s="2" t="s">
        <v>2456</v>
      </c>
      <c r="CL99" s="2" t="s">
        <v>444</v>
      </c>
      <c r="CM99" s="2" t="s">
        <v>371</v>
      </c>
    </row>
    <row r="100" spans="1:96" ht="152" customHeight="1" x14ac:dyDescent="0.45">
      <c r="A100" s="2">
        <v>0</v>
      </c>
      <c r="B100" s="2">
        <v>6</v>
      </c>
      <c r="C100" s="2" t="s">
        <v>2457</v>
      </c>
      <c r="D100" s="2"/>
      <c r="E100" s="2"/>
      <c r="F100" s="2" t="s">
        <v>2458</v>
      </c>
      <c r="G100" s="2" t="s">
        <v>2458</v>
      </c>
      <c r="H100" s="2" t="s">
        <v>2459</v>
      </c>
      <c r="I100" s="2" t="s">
        <v>2459</v>
      </c>
      <c r="J100" s="2" t="s">
        <v>2460</v>
      </c>
      <c r="K100" s="2" t="s">
        <v>2458</v>
      </c>
      <c r="L100" s="2" t="s">
        <v>2458</v>
      </c>
      <c r="M100" s="2" t="s">
        <v>2461</v>
      </c>
      <c r="N100" s="2" t="s">
        <v>2462</v>
      </c>
      <c r="O100" s="2"/>
      <c r="P100" s="2" t="s">
        <v>2463</v>
      </c>
      <c r="Q100" s="2" t="s">
        <v>2464</v>
      </c>
      <c r="R100" s="2" t="s">
        <v>2465</v>
      </c>
      <c r="S100" s="2" t="s">
        <v>2463</v>
      </c>
      <c r="T100" s="2">
        <v>87</v>
      </c>
      <c r="U100" s="2">
        <v>4</v>
      </c>
      <c r="V100" s="2" t="s">
        <v>2466</v>
      </c>
      <c r="W100" s="2"/>
      <c r="X100" s="2"/>
      <c r="Y100" s="2"/>
      <c r="Z100" s="2" t="s">
        <v>2467</v>
      </c>
      <c r="AA100" s="2" t="s">
        <v>2468</v>
      </c>
      <c r="AB100" s="2">
        <v>5</v>
      </c>
      <c r="AC100" s="2" t="s">
        <v>235</v>
      </c>
      <c r="AD100" s="2" t="s">
        <v>2469</v>
      </c>
      <c r="AE100" s="2">
        <v>402</v>
      </c>
      <c r="AF100" s="2" t="s">
        <v>141</v>
      </c>
      <c r="AG100" s="2"/>
      <c r="AH100" s="2"/>
      <c r="AI100" s="2"/>
      <c r="AJ100" s="2"/>
      <c r="AK100" s="2" t="s">
        <v>217</v>
      </c>
      <c r="AL100" s="2" t="s">
        <v>1373</v>
      </c>
      <c r="AM100" s="2" t="s">
        <v>1373</v>
      </c>
      <c r="AN100" s="2" t="s">
        <v>539</v>
      </c>
      <c r="AO100" s="2" t="s">
        <v>2470</v>
      </c>
      <c r="AP100" s="2">
        <v>705348000</v>
      </c>
      <c r="AQ100" s="2">
        <v>705348000</v>
      </c>
      <c r="AR100" s="2" t="s">
        <v>253</v>
      </c>
      <c r="AS100" s="2">
        <v>82606178</v>
      </c>
      <c r="AT100" s="2" t="s">
        <v>2471</v>
      </c>
      <c r="AU100" s="2"/>
      <c r="AV100" s="2"/>
      <c r="AW100" s="2" t="s">
        <v>336</v>
      </c>
      <c r="AX100" s="2">
        <v>89269341</v>
      </c>
      <c r="AY100" s="2" t="s">
        <v>2472</v>
      </c>
      <c r="AZ100" s="2" t="s">
        <v>2473</v>
      </c>
      <c r="BA100" s="2" t="s">
        <v>2474</v>
      </c>
      <c r="BB100" s="2">
        <v>0</v>
      </c>
      <c r="BC100" s="3" t="str">
        <f>HYPERLINK("https://patentscout.innography.com/share/n_g7RS5hJs-GnjYzRw44tQ%3D%3D","KR102423623")</f>
        <v>KR102423623</v>
      </c>
      <c r="BD100" s="2" t="s">
        <v>2475</v>
      </c>
      <c r="BE100" s="2" t="s">
        <v>2476</v>
      </c>
      <c r="BF100" s="2" t="s">
        <v>2477</v>
      </c>
      <c r="BG100" s="2" t="str">
        <f>HYPERLINK("https://patentscout.innography.com/share/n_g7RS5hJs-GnjYzRw44tQ%3D%3D/download", "Download PDF")</f>
        <v>Download PDF</v>
      </c>
      <c r="BH100" s="2" t="s">
        <v>2478</v>
      </c>
      <c r="BI100" s="2"/>
      <c r="BJ100" s="2" t="s">
        <v>2479</v>
      </c>
      <c r="BK100" s="2" t="s">
        <v>2479</v>
      </c>
      <c r="BL100" s="2" t="s">
        <v>2479</v>
      </c>
      <c r="BM100" s="2"/>
      <c r="BN100" s="2"/>
      <c r="BO100" s="2"/>
      <c r="BP100" s="2"/>
      <c r="BQ100" s="2"/>
      <c r="BR100" s="2"/>
      <c r="BS100" s="2"/>
      <c r="BT100" s="2"/>
      <c r="BU100" s="2"/>
      <c r="BV100" s="2"/>
      <c r="BW100" s="2"/>
      <c r="BX100" s="2"/>
      <c r="BY100" s="2"/>
      <c r="BZ100" s="2"/>
      <c r="CA100" s="2"/>
      <c r="CB100" s="2"/>
      <c r="CC100" s="2" t="s">
        <v>243</v>
      </c>
      <c r="CD100" s="2" t="str">
        <f>HYPERLINK("https://patentscout.innography.com/share/n_g7RS5hJs-GnjYzRw44tQ%3D%3D", "Innography Link")</f>
        <v>Innography Link</v>
      </c>
      <c r="CE100" s="2"/>
      <c r="CF100" s="2"/>
      <c r="CG100" s="2"/>
      <c r="CH100" s="2"/>
      <c r="CI100" s="2"/>
      <c r="CK100" s="2" t="s">
        <v>2480</v>
      </c>
      <c r="CL100" s="2" t="s">
        <v>780</v>
      </c>
    </row>
    <row r="101" spans="1:96" ht="152" customHeight="1" x14ac:dyDescent="0.45">
      <c r="A101" s="2">
        <v>0</v>
      </c>
      <c r="B101" s="2">
        <v>4</v>
      </c>
      <c r="C101" s="2" t="s">
        <v>2481</v>
      </c>
      <c r="D101" s="2"/>
      <c r="E101" s="2"/>
      <c r="F101" s="2" t="s">
        <v>2163</v>
      </c>
      <c r="G101" s="2" t="s">
        <v>2163</v>
      </c>
      <c r="H101" s="2" t="s">
        <v>1601</v>
      </c>
      <c r="I101" s="2" t="s">
        <v>1601</v>
      </c>
      <c r="J101" s="2" t="s">
        <v>1602</v>
      </c>
      <c r="K101" s="2" t="s">
        <v>2163</v>
      </c>
      <c r="L101" s="2" t="s">
        <v>2163</v>
      </c>
      <c r="M101" s="2" t="s">
        <v>2482</v>
      </c>
      <c r="N101" s="2" t="s">
        <v>2483</v>
      </c>
      <c r="O101" s="2"/>
      <c r="P101" s="2" t="s">
        <v>1605</v>
      </c>
      <c r="Q101" s="2" t="s">
        <v>1605</v>
      </c>
      <c r="R101" s="2" t="s">
        <v>1606</v>
      </c>
      <c r="S101" s="2" t="s">
        <v>1605</v>
      </c>
      <c r="T101" s="2">
        <v>87</v>
      </c>
      <c r="U101" s="2">
        <v>5</v>
      </c>
      <c r="V101" s="2" t="s">
        <v>2484</v>
      </c>
      <c r="W101" s="2"/>
      <c r="X101" s="2"/>
      <c r="Y101" s="2"/>
      <c r="Z101" s="2" t="s">
        <v>2485</v>
      </c>
      <c r="AA101" s="2" t="s">
        <v>2486</v>
      </c>
      <c r="AB101" s="2">
        <v>10</v>
      </c>
      <c r="AC101" s="2" t="s">
        <v>235</v>
      </c>
      <c r="AD101" s="2" t="s">
        <v>1610</v>
      </c>
      <c r="AE101" s="2">
        <v>480</v>
      </c>
      <c r="AF101" s="2" t="s">
        <v>141</v>
      </c>
      <c r="AG101" s="2"/>
      <c r="AH101" s="2"/>
      <c r="AI101" s="2"/>
      <c r="AJ101" s="2"/>
      <c r="AK101" s="2" t="s">
        <v>217</v>
      </c>
      <c r="AL101" s="2" t="s">
        <v>2487</v>
      </c>
      <c r="AM101" s="2" t="s">
        <v>2487</v>
      </c>
      <c r="AN101" s="2" t="s">
        <v>2488</v>
      </c>
      <c r="AO101" s="2" t="s">
        <v>2489</v>
      </c>
      <c r="AP101" s="2">
        <v>414000000</v>
      </c>
      <c r="AQ101" s="2" t="s">
        <v>2490</v>
      </c>
      <c r="AR101" s="2" t="s">
        <v>253</v>
      </c>
      <c r="AS101" s="2">
        <v>83460703</v>
      </c>
      <c r="AT101" s="2" t="s">
        <v>2491</v>
      </c>
      <c r="AU101" s="2"/>
      <c r="AV101" s="2"/>
      <c r="AW101" s="2" t="s">
        <v>1528</v>
      </c>
      <c r="AX101" s="2">
        <v>91462305</v>
      </c>
      <c r="AY101" s="2" t="s">
        <v>2492</v>
      </c>
      <c r="AZ101" s="2" t="s">
        <v>2493</v>
      </c>
      <c r="BA101" s="2" t="s">
        <v>1616</v>
      </c>
      <c r="BB101" s="2">
        <v>0</v>
      </c>
      <c r="BC101" s="3" t="str">
        <f>HYPERLINK("https://patentscout.innography.com/share/P25lXqQt8vhI6RF-KTh_Qg%3D%3D","KR102443705")</f>
        <v>KR102443705</v>
      </c>
      <c r="BD101" s="2" t="s">
        <v>2494</v>
      </c>
      <c r="BE101" s="2"/>
      <c r="BF101" s="2" t="s">
        <v>2495</v>
      </c>
      <c r="BG101" s="2" t="str">
        <f>HYPERLINK("https://patentscout.innography.com/share/P25lXqQt8vhI6RF-KTh_Qg%3D%3D/download", "Download PDF")</f>
        <v>Download PDF</v>
      </c>
      <c r="BH101" s="2" t="s">
        <v>2496</v>
      </c>
      <c r="BI101" s="2"/>
      <c r="BJ101" s="2" t="s">
        <v>2497</v>
      </c>
      <c r="BK101" s="2" t="s">
        <v>2497</v>
      </c>
      <c r="BL101" s="2" t="s">
        <v>2497</v>
      </c>
      <c r="BM101" s="2"/>
      <c r="BN101" s="2"/>
      <c r="BO101" s="2"/>
      <c r="BP101" s="2"/>
      <c r="BQ101" s="2"/>
      <c r="BR101" s="2"/>
      <c r="BS101" s="2"/>
      <c r="BT101" s="2"/>
      <c r="BU101" s="2"/>
      <c r="BV101" s="2"/>
      <c r="BW101" s="2"/>
      <c r="BX101" s="2"/>
      <c r="BY101" s="2"/>
      <c r="BZ101" s="2"/>
      <c r="CA101" s="2"/>
      <c r="CB101" s="2"/>
      <c r="CC101" s="2" t="s">
        <v>243</v>
      </c>
      <c r="CD101" s="2" t="str">
        <f>HYPERLINK("https://patentscout.innography.com/share/P25lXqQt8vhI6RF-KTh_Qg%3D%3D", "Innography Link")</f>
        <v>Innography Link</v>
      </c>
      <c r="CE101" s="2"/>
      <c r="CF101" s="2"/>
      <c r="CG101" s="2"/>
      <c r="CH101" s="2"/>
      <c r="CI101" s="2"/>
      <c r="CK101" s="2" t="s">
        <v>2498</v>
      </c>
      <c r="CL101" s="2" t="s">
        <v>601</v>
      </c>
      <c r="CM101" s="2" t="s">
        <v>854</v>
      </c>
      <c r="CN101" s="2" t="s">
        <v>602</v>
      </c>
      <c r="CO101" s="2" t="s">
        <v>372</v>
      </c>
      <c r="CP101" s="2" t="s">
        <v>782</v>
      </c>
    </row>
    <row r="102" spans="1:96" ht="152" customHeight="1" x14ac:dyDescent="0.45">
      <c r="A102" s="2">
        <v>0</v>
      </c>
      <c r="B102" s="2">
        <v>1</v>
      </c>
      <c r="C102" s="2" t="s">
        <v>1785</v>
      </c>
      <c r="D102" s="2"/>
      <c r="E102" s="2" t="s">
        <v>887</v>
      </c>
      <c r="F102" s="2"/>
      <c r="G102" s="2" t="s">
        <v>887</v>
      </c>
      <c r="H102" s="2" t="s">
        <v>860</v>
      </c>
      <c r="I102" s="2" t="s">
        <v>860</v>
      </c>
      <c r="J102" s="2" t="s">
        <v>2499</v>
      </c>
      <c r="K102" s="2" t="s">
        <v>887</v>
      </c>
      <c r="L102" s="2" t="s">
        <v>887</v>
      </c>
      <c r="M102" s="2" t="s">
        <v>2500</v>
      </c>
      <c r="N102" s="2" t="s">
        <v>1789</v>
      </c>
      <c r="O102" s="2"/>
      <c r="P102" s="2" t="s">
        <v>1790</v>
      </c>
      <c r="Q102" s="2" t="s">
        <v>1790</v>
      </c>
      <c r="R102" s="2" t="s">
        <v>1791</v>
      </c>
      <c r="S102" s="2" t="s">
        <v>1790</v>
      </c>
      <c r="T102" s="2">
        <v>87</v>
      </c>
      <c r="U102" s="2">
        <v>5</v>
      </c>
      <c r="V102" s="2" t="s">
        <v>2501</v>
      </c>
      <c r="W102" s="2"/>
      <c r="X102" s="2"/>
      <c r="Y102" s="2"/>
      <c r="Z102" s="2" t="s">
        <v>2502</v>
      </c>
      <c r="AA102" s="2" t="s">
        <v>2503</v>
      </c>
      <c r="AB102" s="2">
        <v>5</v>
      </c>
      <c r="AC102" s="2" t="s">
        <v>214</v>
      </c>
      <c r="AD102" s="2" t="s">
        <v>1794</v>
      </c>
      <c r="AE102" s="2">
        <v>70</v>
      </c>
      <c r="AF102" s="2" t="s">
        <v>141</v>
      </c>
      <c r="AG102" s="2"/>
      <c r="AH102" s="2"/>
      <c r="AI102" s="2"/>
      <c r="AJ102" s="2"/>
      <c r="AK102" s="2" t="s">
        <v>217</v>
      </c>
      <c r="AL102" s="2" t="s">
        <v>1510</v>
      </c>
      <c r="AM102" s="2" t="s">
        <v>1795</v>
      </c>
      <c r="AN102" s="2" t="s">
        <v>1511</v>
      </c>
      <c r="AO102" s="2" t="s">
        <v>2504</v>
      </c>
      <c r="AP102" s="2">
        <v>705348000</v>
      </c>
      <c r="AQ102" s="2">
        <v>705348000</v>
      </c>
      <c r="AR102" s="2" t="s">
        <v>253</v>
      </c>
      <c r="AS102" s="2">
        <v>84042208</v>
      </c>
      <c r="AT102" s="2" t="s">
        <v>1797</v>
      </c>
      <c r="AU102" s="2"/>
      <c r="AV102" s="2"/>
      <c r="AW102" s="2" t="s">
        <v>219</v>
      </c>
      <c r="AX102" s="2">
        <v>92600257</v>
      </c>
      <c r="AY102" s="2" t="s">
        <v>1798</v>
      </c>
      <c r="AZ102" s="2" t="s">
        <v>2505</v>
      </c>
      <c r="BA102" s="2" t="s">
        <v>2506</v>
      </c>
      <c r="BB102" s="2">
        <v>0</v>
      </c>
      <c r="BC102" s="3" t="str">
        <f>HYPERLINK("https://patentscout.innography.com/share/jZVHAL5R--HFztyM8HrNjQ%3D%3D","KR20220145997")</f>
        <v>KR20220145997</v>
      </c>
      <c r="BD102" s="2" t="s">
        <v>2507</v>
      </c>
      <c r="BE102" s="2" t="s">
        <v>2508</v>
      </c>
      <c r="BF102" s="2" t="s">
        <v>2509</v>
      </c>
      <c r="BG102" s="2" t="str">
        <f>HYPERLINK("https://patentscout.innography.com/share/jZVHAL5R--HFztyM8HrNjQ%3D%3D/download", "Download PDF")</f>
        <v>Download PDF</v>
      </c>
      <c r="BH102" s="2" t="s">
        <v>2510</v>
      </c>
      <c r="BI102" s="2"/>
      <c r="BJ102" s="2" t="s">
        <v>1806</v>
      </c>
      <c r="BK102" s="2" t="s">
        <v>1806</v>
      </c>
      <c r="BL102" s="2" t="s">
        <v>1806</v>
      </c>
      <c r="BM102" s="2"/>
      <c r="BN102" s="2"/>
      <c r="BO102" s="2"/>
      <c r="BP102" s="2"/>
      <c r="BQ102" s="2"/>
      <c r="BR102" s="2"/>
      <c r="BS102" s="2"/>
      <c r="BT102" s="2"/>
      <c r="BU102" s="2"/>
      <c r="BV102" s="2"/>
      <c r="BW102" s="2"/>
      <c r="BX102" s="2"/>
      <c r="BY102" s="2"/>
      <c r="BZ102" s="2"/>
      <c r="CA102" s="2"/>
      <c r="CB102" s="2"/>
      <c r="CC102" s="2" t="s">
        <v>228</v>
      </c>
      <c r="CD102" s="2" t="str">
        <f>HYPERLINK("https://patentscout.innography.com/share/jZVHAL5R--HFztyM8HrNjQ%3D%3D", "Innography Link")</f>
        <v>Innography Link</v>
      </c>
      <c r="CE102" s="2"/>
      <c r="CF102" s="2"/>
      <c r="CG102" s="2"/>
      <c r="CH102" s="2"/>
      <c r="CI102" s="2"/>
      <c r="CK102" s="2" t="s">
        <v>2511</v>
      </c>
    </row>
    <row r="103" spans="1:96" ht="30" customHeight="1" x14ac:dyDescent="0.45">
      <c r="A103" s="2">
        <v>0</v>
      </c>
      <c r="B103" s="2">
        <v>0</v>
      </c>
      <c r="C103" s="2"/>
      <c r="D103" s="2"/>
      <c r="E103" s="2" t="s">
        <v>1845</v>
      </c>
      <c r="F103" s="2"/>
      <c r="G103" s="2" t="s">
        <v>1845</v>
      </c>
      <c r="H103" s="2" t="s">
        <v>2233</v>
      </c>
      <c r="I103" s="2" t="s">
        <v>2233</v>
      </c>
      <c r="J103" s="2" t="s">
        <v>2512</v>
      </c>
      <c r="K103" s="2" t="s">
        <v>1845</v>
      </c>
      <c r="L103" s="2" t="s">
        <v>1845</v>
      </c>
      <c r="M103" s="2" t="s">
        <v>2513</v>
      </c>
      <c r="N103" s="2" t="s">
        <v>2514</v>
      </c>
      <c r="O103" s="2"/>
      <c r="P103" s="2" t="s">
        <v>2515</v>
      </c>
      <c r="Q103" s="2"/>
      <c r="R103" s="2"/>
      <c r="S103" s="2" t="s">
        <v>2515</v>
      </c>
      <c r="T103" s="2">
        <v>87</v>
      </c>
      <c r="U103" s="2">
        <v>6</v>
      </c>
      <c r="V103" s="2" t="s">
        <v>2516</v>
      </c>
      <c r="W103" s="2"/>
      <c r="X103" s="2"/>
      <c r="Y103" s="2"/>
      <c r="Z103" s="2" t="s">
        <v>2517</v>
      </c>
      <c r="AA103" s="2" t="s">
        <v>2518</v>
      </c>
      <c r="AB103" s="2">
        <v>7</v>
      </c>
      <c r="AC103" s="2" t="s">
        <v>214</v>
      </c>
      <c r="AD103" s="2" t="s">
        <v>2519</v>
      </c>
      <c r="AE103" s="2">
        <v>152</v>
      </c>
      <c r="AF103" s="2" t="s">
        <v>141</v>
      </c>
      <c r="AG103" s="2"/>
      <c r="AH103" s="2"/>
      <c r="AI103" s="2"/>
      <c r="AJ103" s="2"/>
      <c r="AK103" s="2" t="s">
        <v>1816</v>
      </c>
      <c r="AL103" s="2" t="s">
        <v>2520</v>
      </c>
      <c r="AM103" s="2" t="s">
        <v>2521</v>
      </c>
      <c r="AN103" s="2" t="s">
        <v>2522</v>
      </c>
      <c r="AO103" s="2" t="s">
        <v>2523</v>
      </c>
      <c r="AP103" s="2">
        <v>174547000</v>
      </c>
      <c r="AQ103" s="2">
        <v>174547000</v>
      </c>
      <c r="AR103" s="2" t="s">
        <v>253</v>
      </c>
      <c r="AS103" s="2">
        <v>82274583</v>
      </c>
      <c r="AT103" s="2" t="s">
        <v>2524</v>
      </c>
      <c r="AU103" s="2"/>
      <c r="AV103" s="2"/>
      <c r="AW103" s="2" t="s">
        <v>1821</v>
      </c>
      <c r="AX103" s="2">
        <v>91967080</v>
      </c>
      <c r="AY103" s="2" t="s">
        <v>2525</v>
      </c>
      <c r="AZ103" s="2" t="s">
        <v>2526</v>
      </c>
      <c r="BA103" s="2" t="s">
        <v>2527</v>
      </c>
      <c r="BB103" s="2">
        <v>0</v>
      </c>
      <c r="BC103" s="3" t="str">
        <f>HYPERLINK("https://patentscout.innography.com/share/Pqj3tueXKlj7mQBfJc4K6Q%3D%3D","CN114745902")</f>
        <v>CN114745902</v>
      </c>
      <c r="BD103" s="2" t="s">
        <v>2528</v>
      </c>
      <c r="BE103" s="2" t="s">
        <v>2529</v>
      </c>
      <c r="BF103" s="2" t="s">
        <v>2530</v>
      </c>
      <c r="BG103" s="2" t="str">
        <f>HYPERLINK("https://patentscout.innography.com/share/Pqj3tueXKlj7mQBfJc4K6Q%3D%3D/download", "Download PDF")</f>
        <v>Download PDF</v>
      </c>
      <c r="BH103" s="2" t="s">
        <v>2531</v>
      </c>
      <c r="BI103" s="2"/>
      <c r="BJ103" s="2" t="s">
        <v>2525</v>
      </c>
      <c r="BK103" s="2" t="s">
        <v>2525</v>
      </c>
      <c r="BL103" s="2" t="s">
        <v>2525</v>
      </c>
      <c r="BM103" s="2"/>
      <c r="BN103" s="2"/>
      <c r="BO103" s="2"/>
      <c r="BP103" s="2"/>
      <c r="BQ103" s="2"/>
      <c r="BR103" s="2"/>
      <c r="BS103" s="2"/>
      <c r="BT103" s="2"/>
      <c r="BU103" s="2"/>
      <c r="BV103" s="2"/>
      <c r="BW103" s="2"/>
      <c r="BX103" s="2"/>
      <c r="BY103" s="2"/>
      <c r="BZ103" s="2"/>
      <c r="CA103" s="2"/>
      <c r="CB103" s="2"/>
      <c r="CC103" s="2" t="s">
        <v>1829</v>
      </c>
      <c r="CD103" s="2" t="str">
        <f>HYPERLINK("https://patentscout.innography.com/share/Pqj3tueXKlj7mQBfJc4K6Q%3D%3D", "Innography Link")</f>
        <v>Innography Link</v>
      </c>
      <c r="CE103" s="2"/>
      <c r="CF103" s="2"/>
      <c r="CG103" s="2"/>
      <c r="CH103" s="2"/>
      <c r="CI103" s="2"/>
      <c r="CK103" s="2" t="s">
        <v>2532</v>
      </c>
    </row>
    <row r="104" spans="1:96" ht="30" customHeight="1" x14ac:dyDescent="0.45">
      <c r="A104" s="2">
        <v>0</v>
      </c>
      <c r="B104" s="2">
        <v>0</v>
      </c>
      <c r="C104" s="2"/>
      <c r="D104" s="2"/>
      <c r="E104" s="2"/>
      <c r="F104" s="2" t="s">
        <v>2533</v>
      </c>
      <c r="G104" s="2" t="s">
        <v>2533</v>
      </c>
      <c r="H104" s="2" t="s">
        <v>1720</v>
      </c>
      <c r="I104" s="2" t="s">
        <v>1720</v>
      </c>
      <c r="J104" s="2" t="s">
        <v>2534</v>
      </c>
      <c r="K104" s="2" t="s">
        <v>2533</v>
      </c>
      <c r="L104" s="2" t="s">
        <v>2533</v>
      </c>
      <c r="M104" s="2" t="s">
        <v>2535</v>
      </c>
      <c r="N104" s="2" t="s">
        <v>2536</v>
      </c>
      <c r="O104" s="2"/>
      <c r="P104" s="2" t="s">
        <v>2537</v>
      </c>
      <c r="Q104" s="2" t="s">
        <v>2538</v>
      </c>
      <c r="R104" s="2" t="s">
        <v>2539</v>
      </c>
      <c r="S104" s="2" t="s">
        <v>2537</v>
      </c>
      <c r="T104" s="2">
        <v>87</v>
      </c>
      <c r="U104" s="2">
        <v>8</v>
      </c>
      <c r="V104" s="2" t="s">
        <v>2540</v>
      </c>
      <c r="W104" s="2"/>
      <c r="X104" s="2"/>
      <c r="Y104" s="2"/>
      <c r="Z104" s="2" t="s">
        <v>2541</v>
      </c>
      <c r="AA104" s="2" t="s">
        <v>2542</v>
      </c>
      <c r="AB104" s="2">
        <v>10</v>
      </c>
      <c r="AC104" s="2" t="s">
        <v>2543</v>
      </c>
      <c r="AD104" s="2" t="s">
        <v>2544</v>
      </c>
      <c r="AE104" s="2">
        <v>402</v>
      </c>
      <c r="AF104" s="2" t="s">
        <v>141</v>
      </c>
      <c r="AG104" s="2"/>
      <c r="AH104" s="2"/>
      <c r="AI104" s="2"/>
      <c r="AJ104" s="2"/>
      <c r="AK104" s="2" t="s">
        <v>2545</v>
      </c>
      <c r="AL104" s="2" t="s">
        <v>2546</v>
      </c>
      <c r="AM104" s="2" t="s">
        <v>2546</v>
      </c>
      <c r="AN104" s="2" t="s">
        <v>2547</v>
      </c>
      <c r="AO104" s="2" t="s">
        <v>2548</v>
      </c>
      <c r="AP104" s="2">
        <v>273297000</v>
      </c>
      <c r="AQ104" s="2">
        <v>273297000</v>
      </c>
      <c r="AR104" s="2" t="s">
        <v>253</v>
      </c>
      <c r="AS104" s="2">
        <v>82559101</v>
      </c>
      <c r="AT104" s="2" t="s">
        <v>2549</v>
      </c>
      <c r="AU104" s="2"/>
      <c r="AV104" s="2"/>
      <c r="AW104" s="2" t="s">
        <v>2550</v>
      </c>
      <c r="AX104" s="2">
        <v>89266571</v>
      </c>
      <c r="AY104" s="2" t="s">
        <v>2551</v>
      </c>
      <c r="AZ104" s="2" t="s">
        <v>2552</v>
      </c>
      <c r="BA104" s="2" t="s">
        <v>2553</v>
      </c>
      <c r="BB104" s="2">
        <v>0</v>
      </c>
      <c r="BC104" s="3" t="str">
        <f>HYPERLINK("https://patentscout.innography.com/share/BDzkZyCF8Jofc1lqDVavmQ%3D%3D","TWM626295")</f>
        <v>TWM626295</v>
      </c>
      <c r="BD104" s="2" t="s">
        <v>2554</v>
      </c>
      <c r="BE104" s="2"/>
      <c r="BF104" s="2" t="s">
        <v>2555</v>
      </c>
      <c r="BG104" s="2" t="str">
        <f>HYPERLINK("https://patentscout.innography.com/share/BDzkZyCF8Jofc1lqDVavmQ%3D%3D/download", "Download PDF")</f>
        <v>Download PDF</v>
      </c>
      <c r="BH104" s="2" t="s">
        <v>2556</v>
      </c>
      <c r="BI104" s="2"/>
      <c r="BJ104" s="2" t="s">
        <v>2557</v>
      </c>
      <c r="BK104" s="2" t="s">
        <v>2557</v>
      </c>
      <c r="BL104" s="2" t="s">
        <v>2557</v>
      </c>
      <c r="BM104" s="2"/>
      <c r="BN104" s="2"/>
      <c r="BO104" s="2"/>
      <c r="BP104" s="2"/>
      <c r="BQ104" s="2"/>
      <c r="BR104" s="2"/>
      <c r="BS104" s="2"/>
      <c r="BT104" s="2"/>
      <c r="BU104" s="2"/>
      <c r="BV104" s="2"/>
      <c r="BW104" s="2"/>
      <c r="BX104" s="2"/>
      <c r="BY104" s="2"/>
      <c r="BZ104" s="2"/>
      <c r="CA104" s="2"/>
      <c r="CB104" s="2"/>
      <c r="CC104" s="2" t="s">
        <v>2558</v>
      </c>
      <c r="CD104" s="2" t="str">
        <f>HYPERLINK("https://patentscout.innography.com/share/BDzkZyCF8Jofc1lqDVavmQ%3D%3D", "Innography Link")</f>
        <v>Innography Link</v>
      </c>
      <c r="CE104" s="2"/>
      <c r="CF104" s="2"/>
      <c r="CG104" s="2"/>
      <c r="CH104" s="2"/>
      <c r="CI104" s="2"/>
      <c r="CK104" s="2" t="s">
        <v>2559</v>
      </c>
    </row>
    <row r="105" spans="1:96" ht="152" customHeight="1" x14ac:dyDescent="0.45">
      <c r="A105" s="2">
        <v>0</v>
      </c>
      <c r="B105" s="2">
        <v>3</v>
      </c>
      <c r="C105" s="2" t="s">
        <v>2560</v>
      </c>
      <c r="D105" s="2"/>
      <c r="E105" s="2"/>
      <c r="F105" s="2" t="s">
        <v>2561</v>
      </c>
      <c r="G105" s="2" t="s">
        <v>2561</v>
      </c>
      <c r="H105" s="2" t="s">
        <v>1135</v>
      </c>
      <c r="I105" s="2" t="s">
        <v>1135</v>
      </c>
      <c r="J105" s="2" t="s">
        <v>2562</v>
      </c>
      <c r="K105" s="2" t="s">
        <v>2561</v>
      </c>
      <c r="L105" s="2" t="s">
        <v>2561</v>
      </c>
      <c r="M105" s="2" t="s">
        <v>2563</v>
      </c>
      <c r="N105" s="2" t="s">
        <v>2564</v>
      </c>
      <c r="O105" s="2" t="s">
        <v>2565</v>
      </c>
      <c r="P105" s="2" t="s">
        <v>2566</v>
      </c>
      <c r="Q105" s="2" t="s">
        <v>2567</v>
      </c>
      <c r="R105" s="2" t="s">
        <v>2567</v>
      </c>
      <c r="S105" s="2" t="s">
        <v>2566</v>
      </c>
      <c r="T105" s="2">
        <v>87</v>
      </c>
      <c r="U105" s="2">
        <v>5</v>
      </c>
      <c r="V105" s="2" t="s">
        <v>2568</v>
      </c>
      <c r="W105" s="2"/>
      <c r="X105" s="2"/>
      <c r="Y105" s="2"/>
      <c r="Z105" s="2" t="s">
        <v>2569</v>
      </c>
      <c r="AA105" s="2" t="s">
        <v>2570</v>
      </c>
      <c r="AB105" s="2">
        <v>9</v>
      </c>
      <c r="AC105" s="2" t="s">
        <v>235</v>
      </c>
      <c r="AD105" s="2" t="s">
        <v>2571</v>
      </c>
      <c r="AE105" s="2">
        <v>189</v>
      </c>
      <c r="AF105" s="2" t="s">
        <v>141</v>
      </c>
      <c r="AG105" s="2"/>
      <c r="AH105" s="2"/>
      <c r="AI105" s="2"/>
      <c r="AJ105" s="2"/>
      <c r="AK105" s="2" t="s">
        <v>217</v>
      </c>
      <c r="AL105" s="2" t="s">
        <v>332</v>
      </c>
      <c r="AM105" s="2" t="s">
        <v>332</v>
      </c>
      <c r="AN105" s="2" t="s">
        <v>333</v>
      </c>
      <c r="AO105" s="2" t="s">
        <v>2572</v>
      </c>
      <c r="AP105" s="2">
        <v>340005530</v>
      </c>
      <c r="AQ105" s="2">
        <v>340005530</v>
      </c>
      <c r="AR105" s="2" t="s">
        <v>253</v>
      </c>
      <c r="AS105" s="2">
        <v>83113256</v>
      </c>
      <c r="AT105" s="2" t="s">
        <v>2573</v>
      </c>
      <c r="AU105" s="2"/>
      <c r="AV105" s="2"/>
      <c r="AW105" s="2" t="s">
        <v>336</v>
      </c>
      <c r="AX105" s="2">
        <v>90037843</v>
      </c>
      <c r="AY105" s="2" t="s">
        <v>2574</v>
      </c>
      <c r="AZ105" s="2" t="s">
        <v>2575</v>
      </c>
      <c r="BA105" s="2" t="s">
        <v>2576</v>
      </c>
      <c r="BB105" s="2">
        <v>0</v>
      </c>
      <c r="BC105" s="3" t="str">
        <f>HYPERLINK("https://patentscout.innography.com/share/pSzG3yDMEsbslDSlwkRu7Q%3D%3D","KR102436877")</f>
        <v>KR102436877</v>
      </c>
      <c r="BD105" s="2" t="s">
        <v>2577</v>
      </c>
      <c r="BE105" s="2" t="s">
        <v>2578</v>
      </c>
      <c r="BF105" s="2" t="s">
        <v>2579</v>
      </c>
      <c r="BG105" s="2" t="str">
        <f>HYPERLINK("https://patentscout.innography.com/share/pSzG3yDMEsbslDSlwkRu7Q%3D%3D/download", "Download PDF")</f>
        <v>Download PDF</v>
      </c>
      <c r="BH105" s="2" t="s">
        <v>2580</v>
      </c>
      <c r="BI105" s="2"/>
      <c r="BJ105" s="2" t="s">
        <v>2581</v>
      </c>
      <c r="BK105" s="2" t="s">
        <v>2581</v>
      </c>
      <c r="BL105" s="2" t="s">
        <v>2581</v>
      </c>
      <c r="BM105" s="2"/>
      <c r="BN105" s="2"/>
      <c r="BO105" s="2"/>
      <c r="BP105" s="2"/>
      <c r="BQ105" s="2"/>
      <c r="BR105" s="2"/>
      <c r="BS105" s="2"/>
      <c r="BT105" s="2"/>
      <c r="BU105" s="2"/>
      <c r="BV105" s="2"/>
      <c r="BW105" s="2"/>
      <c r="BX105" s="2"/>
      <c r="BY105" s="2"/>
      <c r="BZ105" s="2"/>
      <c r="CA105" s="2"/>
      <c r="CB105" s="2"/>
      <c r="CC105" s="2" t="s">
        <v>243</v>
      </c>
      <c r="CD105" s="2" t="str">
        <f>HYPERLINK("https://patentscout.innography.com/share/pSzG3yDMEsbslDSlwkRu7Q%3D%3D", "Innography Link")</f>
        <v>Innography Link</v>
      </c>
      <c r="CE105" s="2"/>
      <c r="CF105" s="2"/>
      <c r="CG105" s="2"/>
      <c r="CH105" s="2"/>
      <c r="CI105" s="2"/>
      <c r="CK105" s="2" t="s">
        <v>2582</v>
      </c>
      <c r="CL105" s="2" t="s">
        <v>2583</v>
      </c>
    </row>
    <row r="106" spans="1:96" ht="152" customHeight="1" x14ac:dyDescent="0.45">
      <c r="A106" s="2">
        <v>0</v>
      </c>
      <c r="B106" s="2">
        <v>7</v>
      </c>
      <c r="C106" s="2" t="s">
        <v>2584</v>
      </c>
      <c r="D106" s="2"/>
      <c r="E106" s="2"/>
      <c r="F106" s="2" t="s">
        <v>1362</v>
      </c>
      <c r="G106" s="2" t="s">
        <v>1362</v>
      </c>
      <c r="H106" s="2" t="s">
        <v>2585</v>
      </c>
      <c r="I106" s="2" t="s">
        <v>2585</v>
      </c>
      <c r="J106" s="2" t="s">
        <v>2586</v>
      </c>
      <c r="K106" s="2" t="s">
        <v>1362</v>
      </c>
      <c r="L106" s="2" t="s">
        <v>1362</v>
      </c>
      <c r="M106" s="2" t="s">
        <v>2587</v>
      </c>
      <c r="N106" s="2" t="s">
        <v>2588</v>
      </c>
      <c r="O106" s="2"/>
      <c r="P106" s="2" t="s">
        <v>2589</v>
      </c>
      <c r="Q106" s="2" t="s">
        <v>2589</v>
      </c>
      <c r="R106" s="2" t="s">
        <v>2589</v>
      </c>
      <c r="S106" s="2" t="s">
        <v>2589</v>
      </c>
      <c r="T106" s="2">
        <v>87</v>
      </c>
      <c r="U106" s="2">
        <v>5</v>
      </c>
      <c r="V106" s="2" t="s">
        <v>2590</v>
      </c>
      <c r="W106" s="2"/>
      <c r="X106" s="2"/>
      <c r="Y106" s="2"/>
      <c r="Z106" s="2" t="s">
        <v>2591</v>
      </c>
      <c r="AA106" s="2" t="s">
        <v>2592</v>
      </c>
      <c r="AB106" s="2">
        <v>4</v>
      </c>
      <c r="AC106" s="2" t="s">
        <v>235</v>
      </c>
      <c r="AD106" s="2" t="s">
        <v>2593</v>
      </c>
      <c r="AE106" s="2">
        <v>408</v>
      </c>
      <c r="AF106" s="2" t="s">
        <v>141</v>
      </c>
      <c r="AG106" s="2"/>
      <c r="AH106" s="2"/>
      <c r="AI106" s="2"/>
      <c r="AJ106" s="2"/>
      <c r="AK106" s="2" t="s">
        <v>217</v>
      </c>
      <c r="AL106" s="2" t="s">
        <v>2594</v>
      </c>
      <c r="AM106" s="2" t="s">
        <v>2594</v>
      </c>
      <c r="AN106" s="2" t="s">
        <v>2595</v>
      </c>
      <c r="AO106" s="2" t="s">
        <v>2596</v>
      </c>
      <c r="AP106" s="2">
        <v>704278000</v>
      </c>
      <c r="AQ106" s="2">
        <v>704278000</v>
      </c>
      <c r="AR106" s="2" t="s">
        <v>253</v>
      </c>
      <c r="AS106" s="2">
        <v>83803865</v>
      </c>
      <c r="AT106" s="2" t="s">
        <v>2597</v>
      </c>
      <c r="AU106" s="2"/>
      <c r="AV106" s="2"/>
      <c r="AW106" s="2" t="s">
        <v>336</v>
      </c>
      <c r="AX106" s="2">
        <v>92243630</v>
      </c>
      <c r="AY106" s="2" t="s">
        <v>2598</v>
      </c>
      <c r="AZ106" s="2" t="s">
        <v>2599</v>
      </c>
      <c r="BA106" s="2" t="s">
        <v>2600</v>
      </c>
      <c r="BB106" s="2">
        <v>0</v>
      </c>
      <c r="BC106" s="3" t="str">
        <f>HYPERLINK("https://patentscout.innography.com/share/sJ1vcbFjfHutPlrs6K90ug%3D%3D","KR102458703")</f>
        <v>KR102458703</v>
      </c>
      <c r="BD106" s="2" t="s">
        <v>2601</v>
      </c>
      <c r="BE106" s="2" t="s">
        <v>2602</v>
      </c>
      <c r="BF106" s="2" t="s">
        <v>2603</v>
      </c>
      <c r="BG106" s="2" t="str">
        <f>HYPERLINK("https://patentscout.innography.com/share/sJ1vcbFjfHutPlrs6K90ug%3D%3D/download", "Download PDF")</f>
        <v>Download PDF</v>
      </c>
      <c r="BH106" s="2" t="s">
        <v>2604</v>
      </c>
      <c r="BI106" s="2"/>
      <c r="BJ106" s="2" t="s">
        <v>2605</v>
      </c>
      <c r="BK106" s="2" t="s">
        <v>2605</v>
      </c>
      <c r="BL106" s="2" t="s">
        <v>2605</v>
      </c>
      <c r="BM106" s="2"/>
      <c r="BN106" s="2"/>
      <c r="BO106" s="2"/>
      <c r="BP106" s="2"/>
      <c r="BQ106" s="2"/>
      <c r="BR106" s="2"/>
      <c r="BS106" s="2"/>
      <c r="BT106" s="2"/>
      <c r="BU106" s="2"/>
      <c r="BV106" s="2"/>
      <c r="BW106" s="2"/>
      <c r="BX106" s="2"/>
      <c r="BY106" s="2"/>
      <c r="BZ106" s="2"/>
      <c r="CA106" s="2"/>
      <c r="CB106" s="2"/>
      <c r="CC106" s="2" t="s">
        <v>243</v>
      </c>
      <c r="CD106" s="2" t="str">
        <f>HYPERLINK("https://patentscout.innography.com/share/sJ1vcbFjfHutPlrs6K90ug%3D%3D", "Innography Link")</f>
        <v>Innography Link</v>
      </c>
      <c r="CE106" s="2"/>
      <c r="CF106" s="2"/>
      <c r="CG106" s="2"/>
      <c r="CH106" s="2"/>
      <c r="CI106" s="2"/>
      <c r="CK106" s="2" t="s">
        <v>2606</v>
      </c>
      <c r="CL106" s="2" t="s">
        <v>780</v>
      </c>
      <c r="CM106" s="2" t="s">
        <v>371</v>
      </c>
    </row>
    <row r="107" spans="1:96" ht="152" customHeight="1" x14ac:dyDescent="0.45">
      <c r="A107" s="2">
        <v>0</v>
      </c>
      <c r="B107" s="2">
        <v>1</v>
      </c>
      <c r="C107" s="2" t="s">
        <v>2607</v>
      </c>
      <c r="D107" s="2"/>
      <c r="E107" s="2" t="s">
        <v>2608</v>
      </c>
      <c r="F107" s="2"/>
      <c r="G107" s="2" t="s">
        <v>2608</v>
      </c>
      <c r="H107" s="2" t="s">
        <v>2609</v>
      </c>
      <c r="I107" s="2" t="s">
        <v>2609</v>
      </c>
      <c r="J107" s="2" t="s">
        <v>2610</v>
      </c>
      <c r="K107" s="2" t="s">
        <v>2608</v>
      </c>
      <c r="L107" s="2" t="s">
        <v>2608</v>
      </c>
      <c r="M107" s="2" t="s">
        <v>2611</v>
      </c>
      <c r="N107" s="2" t="s">
        <v>2612</v>
      </c>
      <c r="O107" s="2"/>
      <c r="P107" s="2" t="s">
        <v>2613</v>
      </c>
      <c r="Q107" s="2" t="s">
        <v>2613</v>
      </c>
      <c r="R107" s="2" t="s">
        <v>2614</v>
      </c>
      <c r="S107" s="2" t="s">
        <v>2613</v>
      </c>
      <c r="T107" s="2">
        <v>87</v>
      </c>
      <c r="U107" s="2">
        <v>5</v>
      </c>
      <c r="V107" s="2" t="s">
        <v>2615</v>
      </c>
      <c r="W107" s="2"/>
      <c r="X107" s="2"/>
      <c r="Y107" s="2"/>
      <c r="Z107" s="2" t="s">
        <v>2616</v>
      </c>
      <c r="AA107" s="2" t="s">
        <v>2617</v>
      </c>
      <c r="AB107" s="2">
        <v>5</v>
      </c>
      <c r="AC107" s="2" t="s">
        <v>214</v>
      </c>
      <c r="AD107" s="2" t="s">
        <v>2618</v>
      </c>
      <c r="AE107" s="2">
        <v>79</v>
      </c>
      <c r="AF107" s="2" t="s">
        <v>141</v>
      </c>
      <c r="AG107" s="2"/>
      <c r="AH107" s="2"/>
      <c r="AI107" s="2"/>
      <c r="AJ107" s="2"/>
      <c r="AK107" s="2" t="s">
        <v>217</v>
      </c>
      <c r="AL107" s="2" t="s">
        <v>2619</v>
      </c>
      <c r="AM107" s="2" t="s">
        <v>2620</v>
      </c>
      <c r="AN107" s="2" t="s">
        <v>1588</v>
      </c>
      <c r="AO107" s="2" t="s">
        <v>1588</v>
      </c>
      <c r="AP107" s="2">
        <v>340005530</v>
      </c>
      <c r="AQ107" s="2">
        <v>340005530</v>
      </c>
      <c r="AR107" s="2" t="s">
        <v>253</v>
      </c>
      <c r="AS107" s="2">
        <v>84237433</v>
      </c>
      <c r="AT107" s="2" t="s">
        <v>2621</v>
      </c>
      <c r="AU107" s="2"/>
      <c r="AV107" s="2"/>
      <c r="AW107" s="2" t="s">
        <v>219</v>
      </c>
      <c r="AX107" s="2">
        <v>92812546</v>
      </c>
      <c r="AY107" s="2" t="s">
        <v>2622</v>
      </c>
      <c r="AZ107" s="2" t="s">
        <v>2623</v>
      </c>
      <c r="BA107" s="2" t="s">
        <v>2624</v>
      </c>
      <c r="BB107" s="2">
        <v>0</v>
      </c>
      <c r="BC107" s="3" t="str">
        <f>HYPERLINK("https://patentscout.innography.com/share/5POUFrFR3zkdbBpWif_ogg%3D%3D","KR20220156352")</f>
        <v>KR20220156352</v>
      </c>
      <c r="BD107" s="2" t="s">
        <v>2625</v>
      </c>
      <c r="BE107" s="2"/>
      <c r="BF107" s="2" t="s">
        <v>2626</v>
      </c>
      <c r="BG107" s="2" t="str">
        <f>HYPERLINK("https://patentscout.innography.com/share/5POUFrFR3zkdbBpWif_ogg%3D%3D/download", "Download PDF")</f>
        <v>Download PDF</v>
      </c>
      <c r="BH107" s="2" t="s">
        <v>2627</v>
      </c>
      <c r="BI107" s="2"/>
      <c r="BJ107" s="2" t="s">
        <v>2622</v>
      </c>
      <c r="BK107" s="2" t="s">
        <v>2622</v>
      </c>
      <c r="BL107" s="2" t="s">
        <v>2622</v>
      </c>
      <c r="BM107" s="2"/>
      <c r="BN107" s="2"/>
      <c r="BO107" s="2"/>
      <c r="BP107" s="2"/>
      <c r="BQ107" s="2"/>
      <c r="BR107" s="2"/>
      <c r="BS107" s="2"/>
      <c r="BT107" s="2"/>
      <c r="BU107" s="2"/>
      <c r="BV107" s="2"/>
      <c r="BW107" s="2"/>
      <c r="BX107" s="2"/>
      <c r="BY107" s="2"/>
      <c r="BZ107" s="2"/>
      <c r="CA107" s="2"/>
      <c r="CB107" s="2"/>
      <c r="CC107" s="2" t="s">
        <v>228</v>
      </c>
      <c r="CD107" s="2" t="str">
        <f>HYPERLINK("https://patentscout.innography.com/share/5POUFrFR3zkdbBpWif_ogg%3D%3D", "Innography Link")</f>
        <v>Innography Link</v>
      </c>
      <c r="CE107" s="2"/>
      <c r="CF107" s="2"/>
      <c r="CG107" s="2"/>
      <c r="CH107" s="2"/>
      <c r="CI107" s="2"/>
      <c r="CK107" s="2" t="s">
        <v>2628</v>
      </c>
    </row>
    <row r="108" spans="1:96" ht="152" customHeight="1" x14ac:dyDescent="0.45">
      <c r="A108" s="2">
        <v>0</v>
      </c>
      <c r="B108" s="2">
        <v>4</v>
      </c>
      <c r="C108" s="2" t="s">
        <v>2629</v>
      </c>
      <c r="D108" s="2"/>
      <c r="E108" s="2"/>
      <c r="F108" s="2" t="s">
        <v>2630</v>
      </c>
      <c r="G108" s="2" t="s">
        <v>2630</v>
      </c>
      <c r="H108" s="2" t="s">
        <v>2631</v>
      </c>
      <c r="I108" s="2" t="s">
        <v>2631</v>
      </c>
      <c r="J108" s="2" t="s">
        <v>2632</v>
      </c>
      <c r="K108" s="2" t="s">
        <v>2630</v>
      </c>
      <c r="L108" s="2" t="s">
        <v>2630</v>
      </c>
      <c r="M108" s="2" t="s">
        <v>2633</v>
      </c>
      <c r="N108" s="2" t="s">
        <v>2634</v>
      </c>
      <c r="O108" s="2" t="s">
        <v>2635</v>
      </c>
      <c r="P108" s="2" t="s">
        <v>2636</v>
      </c>
      <c r="Q108" s="2" t="s">
        <v>2636</v>
      </c>
      <c r="R108" s="2" t="s">
        <v>2637</v>
      </c>
      <c r="S108" s="2" t="s">
        <v>2636</v>
      </c>
      <c r="T108" s="2">
        <v>87</v>
      </c>
      <c r="U108" s="2">
        <v>6</v>
      </c>
      <c r="V108" s="2" t="s">
        <v>2638</v>
      </c>
      <c r="W108" s="2"/>
      <c r="X108" s="2"/>
      <c r="Y108" s="2"/>
      <c r="Z108" s="2" t="s">
        <v>2639</v>
      </c>
      <c r="AA108" s="2" t="s">
        <v>2640</v>
      </c>
      <c r="AB108" s="2">
        <v>12</v>
      </c>
      <c r="AC108" s="2" t="s">
        <v>235</v>
      </c>
      <c r="AD108" s="2" t="s">
        <v>2641</v>
      </c>
      <c r="AE108" s="2">
        <v>420</v>
      </c>
      <c r="AF108" s="2" t="s">
        <v>141</v>
      </c>
      <c r="AG108" s="2"/>
      <c r="AH108" s="2"/>
      <c r="AI108" s="2"/>
      <c r="AJ108" s="2"/>
      <c r="AK108" s="2" t="s">
        <v>217</v>
      </c>
      <c r="AL108" s="2" t="s">
        <v>1510</v>
      </c>
      <c r="AM108" s="2" t="s">
        <v>1510</v>
      </c>
      <c r="AN108" s="2" t="s">
        <v>1511</v>
      </c>
      <c r="AO108" s="2" t="s">
        <v>2642</v>
      </c>
      <c r="AP108" s="2">
        <v>705348000</v>
      </c>
      <c r="AQ108" s="2">
        <v>705348000</v>
      </c>
      <c r="AR108" s="2" t="s">
        <v>253</v>
      </c>
      <c r="AS108" s="2">
        <v>79177132</v>
      </c>
      <c r="AT108" s="2" t="s">
        <v>2643</v>
      </c>
      <c r="AU108" s="2"/>
      <c r="AV108" s="2"/>
      <c r="AW108" s="2" t="s">
        <v>336</v>
      </c>
      <c r="AX108" s="2">
        <v>83962207</v>
      </c>
      <c r="AY108" s="2" t="s">
        <v>2644</v>
      </c>
      <c r="AZ108" s="2" t="s">
        <v>2645</v>
      </c>
      <c r="BA108" s="2" t="s">
        <v>2646</v>
      </c>
      <c r="BB108" s="2">
        <v>0</v>
      </c>
      <c r="BC108" s="3" t="str">
        <f>HYPERLINK("https://patentscout.innography.com/share/FPC6LP-WvsvlLl2DKX_fvQ%3D%3D","KR102341752")</f>
        <v>KR102341752</v>
      </c>
      <c r="BD108" s="2" t="s">
        <v>2647</v>
      </c>
      <c r="BE108" s="2" t="s">
        <v>2648</v>
      </c>
      <c r="BF108" s="2" t="s">
        <v>2649</v>
      </c>
      <c r="BG108" s="2" t="str">
        <f>HYPERLINK("https://patentscout.innography.com/share/FPC6LP-WvsvlLl2DKX_fvQ%3D%3D/download", "Download PDF")</f>
        <v>Download PDF</v>
      </c>
      <c r="BH108" s="2" t="s">
        <v>2650</v>
      </c>
      <c r="BI108" s="2"/>
      <c r="BJ108" s="2" t="s">
        <v>2651</v>
      </c>
      <c r="BK108" s="2" t="s">
        <v>2651</v>
      </c>
      <c r="BL108" s="2" t="s">
        <v>2651</v>
      </c>
      <c r="BM108" s="2"/>
      <c r="BN108" s="2"/>
      <c r="BO108" s="2"/>
      <c r="BP108" s="2"/>
      <c r="BQ108" s="2"/>
      <c r="BR108" s="2"/>
      <c r="BS108" s="2"/>
      <c r="BT108" s="2"/>
      <c r="BU108" s="2"/>
      <c r="BV108" s="2"/>
      <c r="BW108" s="2"/>
      <c r="BX108" s="2"/>
      <c r="BY108" s="2"/>
      <c r="BZ108" s="2"/>
      <c r="CA108" s="2"/>
      <c r="CB108" s="2"/>
      <c r="CC108" s="2" t="s">
        <v>243</v>
      </c>
      <c r="CD108" s="2" t="str">
        <f>HYPERLINK("https://patentscout.innography.com/share/FPC6LP-WvsvlLl2DKX_fvQ%3D%3D", "Innography Link")</f>
        <v>Innography Link</v>
      </c>
      <c r="CE108" s="2"/>
      <c r="CF108" s="2"/>
      <c r="CG108" s="2"/>
      <c r="CH108" s="2"/>
      <c r="CI108" s="2"/>
      <c r="CK108" s="2" t="s">
        <v>2652</v>
      </c>
      <c r="CL108" s="2" t="s">
        <v>2653</v>
      </c>
    </row>
    <row r="109" spans="1:96" ht="152" customHeight="1" x14ac:dyDescent="0.45">
      <c r="A109" s="2">
        <v>0</v>
      </c>
      <c r="B109" s="2">
        <v>5</v>
      </c>
      <c r="C109" s="2" t="s">
        <v>2654</v>
      </c>
      <c r="D109" s="2"/>
      <c r="E109" s="2"/>
      <c r="F109" s="2" t="s">
        <v>1974</v>
      </c>
      <c r="G109" s="2" t="s">
        <v>1974</v>
      </c>
      <c r="H109" s="2" t="s">
        <v>1269</v>
      </c>
      <c r="I109" s="2" t="s">
        <v>1269</v>
      </c>
      <c r="J109" s="2" t="s">
        <v>1270</v>
      </c>
      <c r="K109" s="2" t="s">
        <v>1974</v>
      </c>
      <c r="L109" s="2" t="s">
        <v>1974</v>
      </c>
      <c r="M109" s="2" t="s">
        <v>2655</v>
      </c>
      <c r="N109" s="2" t="s">
        <v>2656</v>
      </c>
      <c r="O109" s="2"/>
      <c r="P109" s="2" t="s">
        <v>2379</v>
      </c>
      <c r="Q109" s="2" t="s">
        <v>2379</v>
      </c>
      <c r="R109" s="2" t="s">
        <v>2380</v>
      </c>
      <c r="S109" s="2" t="s">
        <v>2379</v>
      </c>
      <c r="T109" s="2">
        <v>87</v>
      </c>
      <c r="U109" s="2">
        <v>7</v>
      </c>
      <c r="V109" s="2" t="s">
        <v>2657</v>
      </c>
      <c r="W109" s="2"/>
      <c r="X109" s="2"/>
      <c r="Y109" s="2"/>
      <c r="Z109" s="2" t="s">
        <v>2658</v>
      </c>
      <c r="AA109" s="2" t="s">
        <v>2659</v>
      </c>
      <c r="AB109" s="2">
        <v>12</v>
      </c>
      <c r="AC109" s="2" t="s">
        <v>235</v>
      </c>
      <c r="AD109" s="2" t="s">
        <v>2384</v>
      </c>
      <c r="AE109" s="2">
        <v>151</v>
      </c>
      <c r="AF109" s="2" t="s">
        <v>141</v>
      </c>
      <c r="AG109" s="2"/>
      <c r="AH109" s="2"/>
      <c r="AI109" s="2"/>
      <c r="AJ109" s="2"/>
      <c r="AK109" s="2" t="s">
        <v>217</v>
      </c>
      <c r="AL109" s="2" t="s">
        <v>298</v>
      </c>
      <c r="AM109" s="2" t="s">
        <v>298</v>
      </c>
      <c r="AN109" s="2" t="s">
        <v>359</v>
      </c>
      <c r="AO109" s="2" t="s">
        <v>2660</v>
      </c>
      <c r="AP109" s="2">
        <v>705348000</v>
      </c>
      <c r="AQ109" s="2">
        <v>705348000</v>
      </c>
      <c r="AR109" s="2" t="s">
        <v>253</v>
      </c>
      <c r="AS109" s="2">
        <v>82401644</v>
      </c>
      <c r="AT109" s="2" t="s">
        <v>2661</v>
      </c>
      <c r="AU109" s="2"/>
      <c r="AV109" s="2"/>
      <c r="AW109" s="2" t="s">
        <v>336</v>
      </c>
      <c r="AX109" s="2">
        <v>89049121</v>
      </c>
      <c r="AY109" s="2" t="s">
        <v>2662</v>
      </c>
      <c r="AZ109" s="2" t="s">
        <v>2663</v>
      </c>
      <c r="BA109" s="2" t="s">
        <v>1284</v>
      </c>
      <c r="BB109" s="2">
        <v>0</v>
      </c>
      <c r="BC109" s="3" t="str">
        <f>HYPERLINK("https://patentscout.innography.com/share/vOicyrMH4cDXg6LdWCdJNw%3D%3D","KR102419932")</f>
        <v>KR102419932</v>
      </c>
      <c r="BD109" s="2" t="s">
        <v>2664</v>
      </c>
      <c r="BE109" s="2" t="s">
        <v>2665</v>
      </c>
      <c r="BF109" s="2" t="s">
        <v>2666</v>
      </c>
      <c r="BG109" s="2" t="str">
        <f>HYPERLINK("https://patentscout.innography.com/share/vOicyrMH4cDXg6LdWCdJNw%3D%3D/download", "Download PDF")</f>
        <v>Download PDF</v>
      </c>
      <c r="BH109" s="2" t="s">
        <v>2667</v>
      </c>
      <c r="BI109" s="2"/>
      <c r="BJ109" s="2" t="s">
        <v>2668</v>
      </c>
      <c r="BK109" s="2" t="s">
        <v>2668</v>
      </c>
      <c r="BL109" s="2" t="s">
        <v>2668</v>
      </c>
      <c r="BM109" s="2"/>
      <c r="BN109" s="2"/>
      <c r="BO109" s="2"/>
      <c r="BP109" s="2"/>
      <c r="BQ109" s="2"/>
      <c r="BR109" s="2"/>
      <c r="BS109" s="2"/>
      <c r="BT109" s="2"/>
      <c r="BU109" s="2"/>
      <c r="BV109" s="2"/>
      <c r="BW109" s="2"/>
      <c r="BX109" s="2"/>
      <c r="BY109" s="2"/>
      <c r="BZ109" s="2"/>
      <c r="CA109" s="2"/>
      <c r="CB109" s="2"/>
      <c r="CC109" s="2" t="s">
        <v>243</v>
      </c>
      <c r="CD109" s="2" t="str">
        <f>HYPERLINK("https://patentscout.innography.com/share/vOicyrMH4cDXg6LdWCdJNw%3D%3D", "Innography Link")</f>
        <v>Innography Link</v>
      </c>
      <c r="CE109" s="2"/>
      <c r="CF109" s="2"/>
      <c r="CG109" s="2"/>
      <c r="CH109" s="2"/>
      <c r="CI109" s="2"/>
      <c r="CK109" s="2" t="s">
        <v>2669</v>
      </c>
    </row>
    <row r="110" spans="1:96" ht="152" customHeight="1" x14ac:dyDescent="0.45">
      <c r="A110" s="2">
        <v>0</v>
      </c>
      <c r="B110" s="2">
        <v>0</v>
      </c>
      <c r="C110" s="2"/>
      <c r="D110" s="2"/>
      <c r="E110" s="2" t="s">
        <v>2670</v>
      </c>
      <c r="F110" s="2"/>
      <c r="G110" s="2" t="s">
        <v>2670</v>
      </c>
      <c r="H110" s="2" t="s">
        <v>2459</v>
      </c>
      <c r="I110" s="2" t="s">
        <v>2671</v>
      </c>
      <c r="J110" s="2" t="s">
        <v>2672</v>
      </c>
      <c r="K110" s="2" t="s">
        <v>2670</v>
      </c>
      <c r="L110" s="2" t="s">
        <v>2670</v>
      </c>
      <c r="M110" s="2" t="s">
        <v>2673</v>
      </c>
      <c r="N110" s="2" t="s">
        <v>2674</v>
      </c>
      <c r="O110" s="2" t="s">
        <v>2675</v>
      </c>
      <c r="P110" s="2" t="s">
        <v>2676</v>
      </c>
      <c r="Q110" s="2" t="s">
        <v>2676</v>
      </c>
      <c r="R110" s="2" t="s">
        <v>2677</v>
      </c>
      <c r="S110" s="2" t="s">
        <v>2676</v>
      </c>
      <c r="T110" s="2">
        <v>87</v>
      </c>
      <c r="U110" s="2">
        <v>3</v>
      </c>
      <c r="V110" s="2" t="s">
        <v>2678</v>
      </c>
      <c r="W110" s="2"/>
      <c r="X110" s="2"/>
      <c r="Y110" s="2"/>
      <c r="Z110" s="2" t="s">
        <v>2679</v>
      </c>
      <c r="AA110" s="2" t="s">
        <v>2679</v>
      </c>
      <c r="AB110" s="2">
        <v>1</v>
      </c>
      <c r="AC110" s="2" t="s">
        <v>214</v>
      </c>
      <c r="AD110" s="2" t="s">
        <v>2680</v>
      </c>
      <c r="AE110" s="2">
        <v>285</v>
      </c>
      <c r="AF110" s="2" t="s">
        <v>141</v>
      </c>
      <c r="AG110" s="2"/>
      <c r="AH110" s="2"/>
      <c r="AI110" s="2"/>
      <c r="AJ110" s="2"/>
      <c r="AK110" s="2" t="s">
        <v>217</v>
      </c>
      <c r="AL110" s="2" t="s">
        <v>2681</v>
      </c>
      <c r="AM110" s="2" t="s">
        <v>2682</v>
      </c>
      <c r="AN110" s="2" t="s">
        <v>717</v>
      </c>
      <c r="AO110" s="2" t="s">
        <v>2683</v>
      </c>
      <c r="AP110" s="2">
        <v>705348000</v>
      </c>
      <c r="AQ110" s="2">
        <v>705348000</v>
      </c>
      <c r="AR110" s="2" t="s">
        <v>253</v>
      </c>
      <c r="AS110" s="2">
        <v>83111276</v>
      </c>
      <c r="AT110" s="2" t="s">
        <v>2684</v>
      </c>
      <c r="AU110" s="2"/>
      <c r="AV110" s="2"/>
      <c r="AW110" s="2" t="s">
        <v>219</v>
      </c>
      <c r="AX110" s="2">
        <v>90030733</v>
      </c>
      <c r="AY110" s="2" t="s">
        <v>2685</v>
      </c>
      <c r="AZ110" s="2" t="s">
        <v>2686</v>
      </c>
      <c r="BA110" s="2" t="s">
        <v>2687</v>
      </c>
      <c r="BB110" s="2">
        <v>0</v>
      </c>
      <c r="BC110" s="3" t="str">
        <f>HYPERLINK("https://patentscout.innography.com/share/mVUWXCNypTFFZhtRU1KXOQ%3D%3D","KR20220118364")</f>
        <v>KR20220118364</v>
      </c>
      <c r="BD110" s="2" t="s">
        <v>2688</v>
      </c>
      <c r="BE110" s="2" t="s">
        <v>2689</v>
      </c>
      <c r="BF110" s="2" t="s">
        <v>2690</v>
      </c>
      <c r="BG110" s="2" t="str">
        <f>HYPERLINK("https://patentscout.innography.com/share/mVUWXCNypTFFZhtRU1KXOQ%3D%3D/download", "Download PDF")</f>
        <v>Download PDF</v>
      </c>
      <c r="BH110" s="2" t="s">
        <v>2691</v>
      </c>
      <c r="BI110" s="2"/>
      <c r="BJ110" s="2" t="s">
        <v>2692</v>
      </c>
      <c r="BK110" s="2" t="s">
        <v>2693</v>
      </c>
      <c r="BL110" s="2" t="s">
        <v>2694</v>
      </c>
      <c r="BM110" s="2"/>
      <c r="BN110" s="2"/>
      <c r="BO110" s="2"/>
      <c r="BP110" s="2"/>
      <c r="BQ110" s="2"/>
      <c r="BR110" s="2"/>
      <c r="BS110" s="2"/>
      <c r="BT110" s="2"/>
      <c r="BU110" s="2"/>
      <c r="BV110" s="2"/>
      <c r="BW110" s="2"/>
      <c r="BX110" s="2"/>
      <c r="BY110" s="2"/>
      <c r="BZ110" s="2"/>
      <c r="CA110" s="2"/>
      <c r="CB110" s="2"/>
      <c r="CC110" s="2" t="s">
        <v>228</v>
      </c>
      <c r="CD110" s="2" t="str">
        <f>HYPERLINK("https://patentscout.innography.com/share/mVUWXCNypTFFZhtRU1KXOQ%3D%3D", "Innography Link")</f>
        <v>Innography Link</v>
      </c>
      <c r="CE110" s="2"/>
      <c r="CF110" s="2"/>
      <c r="CG110" s="2"/>
      <c r="CH110" s="2"/>
      <c r="CI110" s="2"/>
      <c r="CK110" s="2" t="s">
        <v>2695</v>
      </c>
    </row>
    <row r="111" spans="1:96" ht="152" customHeight="1" x14ac:dyDescent="0.45">
      <c r="A111" s="2">
        <v>0</v>
      </c>
      <c r="B111" s="2">
        <v>1</v>
      </c>
      <c r="C111" s="2" t="s">
        <v>2696</v>
      </c>
      <c r="D111" s="2"/>
      <c r="E111" s="2"/>
      <c r="F111" s="2" t="s">
        <v>2697</v>
      </c>
      <c r="G111" s="2" t="s">
        <v>2697</v>
      </c>
      <c r="H111" s="2" t="s">
        <v>2459</v>
      </c>
      <c r="I111" s="2" t="s">
        <v>2459</v>
      </c>
      <c r="J111" s="2" t="s">
        <v>2460</v>
      </c>
      <c r="K111" s="2" t="s">
        <v>2697</v>
      </c>
      <c r="L111" s="2" t="s">
        <v>2670</v>
      </c>
      <c r="M111" s="2" t="s">
        <v>2673</v>
      </c>
      <c r="N111" s="2" t="s">
        <v>2674</v>
      </c>
      <c r="O111" s="2"/>
      <c r="P111" s="2" t="s">
        <v>2676</v>
      </c>
      <c r="Q111" s="2" t="s">
        <v>2676</v>
      </c>
      <c r="R111" s="2" t="s">
        <v>2677</v>
      </c>
      <c r="S111" s="2" t="s">
        <v>2676</v>
      </c>
      <c r="T111" s="2">
        <v>87</v>
      </c>
      <c r="U111" s="2">
        <v>5</v>
      </c>
      <c r="V111" s="2" t="s">
        <v>2698</v>
      </c>
      <c r="W111" s="2"/>
      <c r="X111" s="2"/>
      <c r="Y111" s="2"/>
      <c r="Z111" s="2" t="s">
        <v>2699</v>
      </c>
      <c r="AA111" s="2" t="s">
        <v>2700</v>
      </c>
      <c r="AB111" s="2">
        <v>10</v>
      </c>
      <c r="AC111" s="2" t="s">
        <v>235</v>
      </c>
      <c r="AD111" s="2" t="s">
        <v>2680</v>
      </c>
      <c r="AE111" s="2">
        <v>462</v>
      </c>
      <c r="AF111" s="2" t="s">
        <v>141</v>
      </c>
      <c r="AG111" s="2"/>
      <c r="AH111" s="2"/>
      <c r="AI111" s="2"/>
      <c r="AJ111" s="2"/>
      <c r="AK111" s="2" t="s">
        <v>217</v>
      </c>
      <c r="AL111" s="2" t="s">
        <v>716</v>
      </c>
      <c r="AM111" s="2" t="s">
        <v>716</v>
      </c>
      <c r="AN111" s="2" t="s">
        <v>717</v>
      </c>
      <c r="AO111" s="2" t="s">
        <v>2701</v>
      </c>
      <c r="AP111" s="2">
        <v>705348000</v>
      </c>
      <c r="AQ111" s="2">
        <v>705348000</v>
      </c>
      <c r="AR111" s="2" t="s">
        <v>253</v>
      </c>
      <c r="AS111" s="2">
        <v>83114210</v>
      </c>
      <c r="AT111" s="2" t="s">
        <v>2702</v>
      </c>
      <c r="AU111" s="2"/>
      <c r="AV111" s="2"/>
      <c r="AW111" s="2" t="s">
        <v>336</v>
      </c>
      <c r="AX111" s="2">
        <v>90030733</v>
      </c>
      <c r="AY111" s="2" t="s">
        <v>2685</v>
      </c>
      <c r="AZ111" s="2" t="s">
        <v>2703</v>
      </c>
      <c r="BA111" s="2" t="s">
        <v>2474</v>
      </c>
      <c r="BB111" s="2">
        <v>0</v>
      </c>
      <c r="BC111" s="3" t="str">
        <f>HYPERLINK("https://patentscout.innography.com/share/QL7vI-ricUR-JzMHpOmHtA%3D%3D","KR102437103")</f>
        <v>KR102437103</v>
      </c>
      <c r="BD111" s="2" t="s">
        <v>2704</v>
      </c>
      <c r="BE111" s="2" t="s">
        <v>2705</v>
      </c>
      <c r="BF111" s="2" t="s">
        <v>2706</v>
      </c>
      <c r="BG111" s="2" t="str">
        <f>HYPERLINK("https://patentscout.innography.com/share/QL7vI-ricUR-JzMHpOmHtA%3D%3D/download", "Download PDF")</f>
        <v>Download PDF</v>
      </c>
      <c r="BH111" s="2" t="s">
        <v>2707</v>
      </c>
      <c r="BI111" s="2"/>
      <c r="BJ111" s="2" t="s">
        <v>2694</v>
      </c>
      <c r="BK111" s="2" t="s">
        <v>2694</v>
      </c>
      <c r="BL111" s="2" t="s">
        <v>2694</v>
      </c>
      <c r="BM111" s="2"/>
      <c r="BN111" s="2"/>
      <c r="BO111" s="2"/>
      <c r="BP111" s="2"/>
      <c r="BQ111" s="2"/>
      <c r="BR111" s="2"/>
      <c r="BS111" s="2"/>
      <c r="BT111" s="2"/>
      <c r="BU111" s="2"/>
      <c r="BV111" s="2"/>
      <c r="BW111" s="2"/>
      <c r="BX111" s="2"/>
      <c r="BY111" s="2"/>
      <c r="BZ111" s="2"/>
      <c r="CA111" s="2"/>
      <c r="CB111" s="2"/>
      <c r="CC111" s="2" t="s">
        <v>243</v>
      </c>
      <c r="CD111" s="2" t="str">
        <f>HYPERLINK("https://patentscout.innography.com/share/QL7vI-ricUR-JzMHpOmHtA%3D%3D", "Innography Link")</f>
        <v>Innography Link</v>
      </c>
      <c r="CE111" s="2"/>
      <c r="CF111" s="2"/>
      <c r="CG111" s="2"/>
      <c r="CH111" s="2"/>
      <c r="CI111" s="2"/>
      <c r="CK111" s="2" t="s">
        <v>2708</v>
      </c>
      <c r="CL111" s="2" t="s">
        <v>780</v>
      </c>
      <c r="CM111" s="2" t="s">
        <v>444</v>
      </c>
      <c r="CN111" s="2" t="s">
        <v>2709</v>
      </c>
      <c r="CO111" s="2" t="s">
        <v>2710</v>
      </c>
      <c r="CP111" s="2" t="s">
        <v>854</v>
      </c>
      <c r="CQ111" s="2" t="s">
        <v>2711</v>
      </c>
      <c r="CR111" s="2" t="s">
        <v>2712</v>
      </c>
    </row>
    <row r="112" spans="1:96" ht="152" customHeight="1" x14ac:dyDescent="0.45">
      <c r="A112" s="2">
        <v>0</v>
      </c>
      <c r="B112" s="2">
        <v>11</v>
      </c>
      <c r="C112" s="2" t="s">
        <v>2713</v>
      </c>
      <c r="D112" s="2"/>
      <c r="E112" s="2"/>
      <c r="F112" s="2" t="s">
        <v>2714</v>
      </c>
      <c r="G112" s="2" t="s">
        <v>2714</v>
      </c>
      <c r="H112" s="2" t="s">
        <v>2715</v>
      </c>
      <c r="I112" s="2" t="s">
        <v>2715</v>
      </c>
      <c r="J112" s="2" t="s">
        <v>2716</v>
      </c>
      <c r="K112" s="2" t="s">
        <v>2714</v>
      </c>
      <c r="L112" s="2" t="s">
        <v>2714</v>
      </c>
      <c r="M112" s="2" t="s">
        <v>2717</v>
      </c>
      <c r="N112" s="2" t="s">
        <v>2718</v>
      </c>
      <c r="O112" s="2" t="s">
        <v>2719</v>
      </c>
      <c r="P112" s="2" t="s">
        <v>2720</v>
      </c>
      <c r="Q112" s="2" t="s">
        <v>2720</v>
      </c>
      <c r="R112" s="2" t="s">
        <v>2721</v>
      </c>
      <c r="S112" s="2" t="s">
        <v>2720</v>
      </c>
      <c r="T112" s="2">
        <v>87</v>
      </c>
      <c r="U112" s="2">
        <v>9</v>
      </c>
      <c r="V112" s="2" t="s">
        <v>2722</v>
      </c>
      <c r="W112" s="2"/>
      <c r="X112" s="2"/>
      <c r="Y112" s="2"/>
      <c r="Z112" s="2" t="s">
        <v>2723</v>
      </c>
      <c r="AA112" s="2" t="s">
        <v>2724</v>
      </c>
      <c r="AB112" s="2">
        <v>11</v>
      </c>
      <c r="AC112" s="2" t="s">
        <v>235</v>
      </c>
      <c r="AD112" s="2" t="s">
        <v>2725</v>
      </c>
      <c r="AE112" s="2">
        <v>284</v>
      </c>
      <c r="AF112" s="2" t="s">
        <v>141</v>
      </c>
      <c r="AG112" s="2"/>
      <c r="AH112" s="2"/>
      <c r="AI112" s="2"/>
      <c r="AJ112" s="2"/>
      <c r="AK112" s="2" t="s">
        <v>217</v>
      </c>
      <c r="AL112" s="2" t="s">
        <v>298</v>
      </c>
      <c r="AM112" s="2" t="s">
        <v>298</v>
      </c>
      <c r="AN112" s="2" t="s">
        <v>359</v>
      </c>
      <c r="AO112" s="2" t="s">
        <v>2726</v>
      </c>
      <c r="AP112" s="2">
        <v>705348000</v>
      </c>
      <c r="AQ112" s="2">
        <v>705348000</v>
      </c>
      <c r="AR112" s="2" t="s">
        <v>253</v>
      </c>
      <c r="AS112" s="2">
        <v>83802596</v>
      </c>
      <c r="AT112" s="2" t="s">
        <v>2727</v>
      </c>
      <c r="AU112" s="2"/>
      <c r="AV112" s="2"/>
      <c r="AW112" s="2" t="s">
        <v>336</v>
      </c>
      <c r="AX112" s="2">
        <v>92244170</v>
      </c>
      <c r="AY112" s="2" t="s">
        <v>2728</v>
      </c>
      <c r="AZ112" s="2" t="s">
        <v>2729</v>
      </c>
      <c r="BA112" s="2" t="s">
        <v>2730</v>
      </c>
      <c r="BB112" s="2">
        <v>0</v>
      </c>
      <c r="BC112" s="3" t="str">
        <f>HYPERLINK("https://patentscout.innography.com/share/i_JSiQhaSpAz6cqtJlneNQ%3D%3D","KR102461484")</f>
        <v>KR102461484</v>
      </c>
      <c r="BD112" s="2" t="s">
        <v>2731</v>
      </c>
      <c r="BE112" s="2" t="s">
        <v>2732</v>
      </c>
      <c r="BF112" s="2" t="s">
        <v>2733</v>
      </c>
      <c r="BG112" s="2" t="str">
        <f>HYPERLINK("https://patentscout.innography.com/share/i_JSiQhaSpAz6cqtJlneNQ%3D%3D/download", "Download PDF")</f>
        <v>Download PDF</v>
      </c>
      <c r="BH112" s="2" t="s">
        <v>2734</v>
      </c>
      <c r="BI112" s="2"/>
      <c r="BJ112" s="2" t="s">
        <v>2735</v>
      </c>
      <c r="BK112" s="2" t="s">
        <v>2735</v>
      </c>
      <c r="BL112" s="2" t="s">
        <v>2735</v>
      </c>
      <c r="BM112" s="2"/>
      <c r="BN112" s="2"/>
      <c r="BO112" s="2"/>
      <c r="BP112" s="2"/>
      <c r="BQ112" s="2"/>
      <c r="BR112" s="2"/>
      <c r="BS112" s="2"/>
      <c r="BT112" s="2"/>
      <c r="BU112" s="2"/>
      <c r="BV112" s="2"/>
      <c r="BW112" s="2"/>
      <c r="BX112" s="2"/>
      <c r="BY112" s="2"/>
      <c r="BZ112" s="2"/>
      <c r="CA112" s="2"/>
      <c r="CB112" s="2"/>
      <c r="CC112" s="2" t="s">
        <v>243</v>
      </c>
      <c r="CD112" s="2" t="str">
        <f>HYPERLINK("https://patentscout.innography.com/share/i_JSiQhaSpAz6cqtJlneNQ%3D%3D", "Innography Link")</f>
        <v>Innography Link</v>
      </c>
      <c r="CE112" s="2"/>
      <c r="CF112" s="2"/>
      <c r="CG112" s="2"/>
      <c r="CH112" s="2"/>
      <c r="CI112" s="2"/>
      <c r="CK112" s="2" t="s">
        <v>2736</v>
      </c>
    </row>
    <row r="113" spans="1:94" ht="152" customHeight="1" x14ac:dyDescent="0.45">
      <c r="A113" s="2">
        <v>0</v>
      </c>
      <c r="B113" s="2">
        <v>4</v>
      </c>
      <c r="C113" s="2" t="s">
        <v>2737</v>
      </c>
      <c r="D113" s="2"/>
      <c r="E113" s="2"/>
      <c r="F113" s="2" t="s">
        <v>1974</v>
      </c>
      <c r="G113" s="2" t="s">
        <v>1974</v>
      </c>
      <c r="H113" s="2" t="s">
        <v>1269</v>
      </c>
      <c r="I113" s="2" t="s">
        <v>1269</v>
      </c>
      <c r="J113" s="2" t="s">
        <v>1270</v>
      </c>
      <c r="K113" s="2" t="s">
        <v>1974</v>
      </c>
      <c r="L113" s="2" t="s">
        <v>1974</v>
      </c>
      <c r="M113" s="2" t="s">
        <v>2738</v>
      </c>
      <c r="N113" s="2" t="s">
        <v>2739</v>
      </c>
      <c r="O113" s="2"/>
      <c r="P113" s="2" t="s">
        <v>2379</v>
      </c>
      <c r="Q113" s="2" t="s">
        <v>2379</v>
      </c>
      <c r="R113" s="2" t="s">
        <v>2380</v>
      </c>
      <c r="S113" s="2" t="s">
        <v>2379</v>
      </c>
      <c r="T113" s="2">
        <v>87</v>
      </c>
      <c r="U113" s="2">
        <v>7</v>
      </c>
      <c r="V113" s="2" t="s">
        <v>2740</v>
      </c>
      <c r="W113" s="2"/>
      <c r="X113" s="2"/>
      <c r="Y113" s="2"/>
      <c r="Z113" s="2" t="s">
        <v>2741</v>
      </c>
      <c r="AA113" s="2" t="s">
        <v>2742</v>
      </c>
      <c r="AB113" s="2">
        <v>12</v>
      </c>
      <c r="AC113" s="2" t="s">
        <v>235</v>
      </c>
      <c r="AD113" s="2" t="s">
        <v>2384</v>
      </c>
      <c r="AE113" s="2">
        <v>108</v>
      </c>
      <c r="AF113" s="2" t="s">
        <v>141</v>
      </c>
      <c r="AG113" s="2"/>
      <c r="AH113" s="2"/>
      <c r="AI113" s="2"/>
      <c r="AJ113" s="2"/>
      <c r="AK113" s="2" t="s">
        <v>217</v>
      </c>
      <c r="AL113" s="2" t="s">
        <v>298</v>
      </c>
      <c r="AM113" s="2" t="s">
        <v>298</v>
      </c>
      <c r="AN113" s="2" t="s">
        <v>359</v>
      </c>
      <c r="AO113" s="2" t="s">
        <v>2743</v>
      </c>
      <c r="AP113" s="2">
        <v>705348000</v>
      </c>
      <c r="AQ113" s="2">
        <v>705348000</v>
      </c>
      <c r="AR113" s="2" t="s">
        <v>253</v>
      </c>
      <c r="AS113" s="2">
        <v>82401610</v>
      </c>
      <c r="AT113" s="2" t="s">
        <v>2744</v>
      </c>
      <c r="AU113" s="2"/>
      <c r="AV113" s="2"/>
      <c r="AW113" s="2" t="s">
        <v>336</v>
      </c>
      <c r="AX113" s="2">
        <v>89049115</v>
      </c>
      <c r="AY113" s="2" t="s">
        <v>2745</v>
      </c>
      <c r="AZ113" s="2" t="s">
        <v>2746</v>
      </c>
      <c r="BA113" s="2" t="s">
        <v>1284</v>
      </c>
      <c r="BB113" s="2">
        <v>0</v>
      </c>
      <c r="BC113" s="3" t="str">
        <f>HYPERLINK("https://patentscout.innography.com/share/AhDZlqVNSUliktpXOqSUjw%3D%3D","KR102419906")</f>
        <v>KR102419906</v>
      </c>
      <c r="BD113" s="2" t="s">
        <v>2747</v>
      </c>
      <c r="BE113" s="2" t="s">
        <v>2665</v>
      </c>
      <c r="BF113" s="2" t="s">
        <v>2748</v>
      </c>
      <c r="BG113" s="2" t="str">
        <f>HYPERLINK("https://patentscout.innography.com/share/AhDZlqVNSUliktpXOqSUjw%3D%3D/download", "Download PDF")</f>
        <v>Download PDF</v>
      </c>
      <c r="BH113" s="2" t="s">
        <v>2749</v>
      </c>
      <c r="BI113" s="2"/>
      <c r="BJ113" s="2" t="s">
        <v>2750</v>
      </c>
      <c r="BK113" s="2" t="s">
        <v>2750</v>
      </c>
      <c r="BL113" s="2" t="s">
        <v>2750</v>
      </c>
      <c r="BM113" s="2"/>
      <c r="BN113" s="2"/>
      <c r="BO113" s="2"/>
      <c r="BP113" s="2"/>
      <c r="BQ113" s="2"/>
      <c r="BR113" s="2"/>
      <c r="BS113" s="2"/>
      <c r="BT113" s="2"/>
      <c r="BU113" s="2"/>
      <c r="BV113" s="2"/>
      <c r="BW113" s="2"/>
      <c r="BX113" s="2"/>
      <c r="BY113" s="2"/>
      <c r="BZ113" s="2"/>
      <c r="CA113" s="2"/>
      <c r="CB113" s="2"/>
      <c r="CC113" s="2" t="s">
        <v>243</v>
      </c>
      <c r="CD113" s="2" t="str">
        <f>HYPERLINK("https://patentscout.innography.com/share/AhDZlqVNSUliktpXOqSUjw%3D%3D", "Innography Link")</f>
        <v>Innography Link</v>
      </c>
      <c r="CE113" s="2"/>
      <c r="CF113" s="2"/>
      <c r="CG113" s="2"/>
      <c r="CH113" s="2"/>
      <c r="CI113" s="2"/>
      <c r="CK113" s="2" t="s">
        <v>2751</v>
      </c>
      <c r="CL113" s="2" t="s">
        <v>784</v>
      </c>
    </row>
    <row r="114" spans="1:94" ht="152" customHeight="1" x14ac:dyDescent="0.45">
      <c r="A114" s="2">
        <v>0</v>
      </c>
      <c r="B114" s="2">
        <v>5</v>
      </c>
      <c r="C114" s="2" t="s">
        <v>2752</v>
      </c>
      <c r="D114" s="2"/>
      <c r="E114" s="2"/>
      <c r="F114" s="2" t="s">
        <v>1974</v>
      </c>
      <c r="G114" s="2" t="s">
        <v>1974</v>
      </c>
      <c r="H114" s="2" t="s">
        <v>1269</v>
      </c>
      <c r="I114" s="2" t="s">
        <v>1269</v>
      </c>
      <c r="J114" s="2" t="s">
        <v>1270</v>
      </c>
      <c r="K114" s="2" t="s">
        <v>1974</v>
      </c>
      <c r="L114" s="2" t="s">
        <v>1974</v>
      </c>
      <c r="M114" s="2" t="s">
        <v>2753</v>
      </c>
      <c r="N114" s="2" t="s">
        <v>2754</v>
      </c>
      <c r="O114" s="2"/>
      <c r="P114" s="2" t="s">
        <v>2379</v>
      </c>
      <c r="Q114" s="2" t="s">
        <v>2379</v>
      </c>
      <c r="R114" s="2" t="s">
        <v>2380</v>
      </c>
      <c r="S114" s="2" t="s">
        <v>2379</v>
      </c>
      <c r="T114" s="2">
        <v>87</v>
      </c>
      <c r="U114" s="2">
        <v>8</v>
      </c>
      <c r="V114" s="2" t="s">
        <v>2755</v>
      </c>
      <c r="W114" s="2"/>
      <c r="X114" s="2"/>
      <c r="Y114" s="2"/>
      <c r="Z114" s="2" t="s">
        <v>2756</v>
      </c>
      <c r="AA114" s="2" t="s">
        <v>2757</v>
      </c>
      <c r="AB114" s="2">
        <v>13</v>
      </c>
      <c r="AC114" s="2" t="s">
        <v>235</v>
      </c>
      <c r="AD114" s="2" t="s">
        <v>2384</v>
      </c>
      <c r="AE114" s="2">
        <v>168</v>
      </c>
      <c r="AF114" s="2" t="s">
        <v>141</v>
      </c>
      <c r="AG114" s="2"/>
      <c r="AH114" s="2"/>
      <c r="AI114" s="2"/>
      <c r="AJ114" s="2"/>
      <c r="AK114" s="2" t="s">
        <v>217</v>
      </c>
      <c r="AL114" s="2" t="s">
        <v>298</v>
      </c>
      <c r="AM114" s="2" t="s">
        <v>298</v>
      </c>
      <c r="AN114" s="2" t="s">
        <v>359</v>
      </c>
      <c r="AO114" s="2" t="s">
        <v>2758</v>
      </c>
      <c r="AP114" s="2">
        <v>705348000</v>
      </c>
      <c r="AQ114" s="2">
        <v>705348000</v>
      </c>
      <c r="AR114" s="2" t="s">
        <v>253</v>
      </c>
      <c r="AS114" s="2">
        <v>82401339</v>
      </c>
      <c r="AT114" s="2" t="s">
        <v>2759</v>
      </c>
      <c r="AU114" s="2"/>
      <c r="AV114" s="2"/>
      <c r="AW114" s="2" t="s">
        <v>336</v>
      </c>
      <c r="AX114" s="2">
        <v>89049118</v>
      </c>
      <c r="AY114" s="2" t="s">
        <v>2760</v>
      </c>
      <c r="AZ114" s="2" t="s">
        <v>2761</v>
      </c>
      <c r="BA114" s="2" t="s">
        <v>1284</v>
      </c>
      <c r="BB114" s="2">
        <v>0</v>
      </c>
      <c r="BC114" s="3" t="str">
        <f>HYPERLINK("https://patentscout.innography.com/share/O580aEtw6LJruyd5Nplm1g%3D%3D","KR102419919")</f>
        <v>KR102419919</v>
      </c>
      <c r="BD114" s="2" t="s">
        <v>2762</v>
      </c>
      <c r="BE114" s="2" t="s">
        <v>2665</v>
      </c>
      <c r="BF114" s="2" t="s">
        <v>2763</v>
      </c>
      <c r="BG114" s="2" t="str">
        <f>HYPERLINK("https://patentscout.innography.com/share/O580aEtw6LJruyd5Nplm1g%3D%3D/download", "Download PDF")</f>
        <v>Download PDF</v>
      </c>
      <c r="BH114" s="2" t="s">
        <v>2764</v>
      </c>
      <c r="BI114" s="2"/>
      <c r="BJ114" s="2" t="s">
        <v>2765</v>
      </c>
      <c r="BK114" s="2" t="s">
        <v>2765</v>
      </c>
      <c r="BL114" s="2" t="s">
        <v>2765</v>
      </c>
      <c r="BM114" s="2"/>
      <c r="BN114" s="2"/>
      <c r="BO114" s="2"/>
      <c r="BP114" s="2"/>
      <c r="BQ114" s="2"/>
      <c r="BR114" s="2"/>
      <c r="BS114" s="2"/>
      <c r="BT114" s="2"/>
      <c r="BU114" s="2"/>
      <c r="BV114" s="2"/>
      <c r="BW114" s="2"/>
      <c r="BX114" s="2"/>
      <c r="BY114" s="2"/>
      <c r="BZ114" s="2"/>
      <c r="CA114" s="2"/>
      <c r="CB114" s="2"/>
      <c r="CC114" s="2" t="s">
        <v>243</v>
      </c>
      <c r="CD114" s="2" t="str">
        <f>HYPERLINK("https://patentscout.innography.com/share/O580aEtw6LJruyd5Nplm1g%3D%3D", "Innography Link")</f>
        <v>Innography Link</v>
      </c>
      <c r="CE114" s="2"/>
      <c r="CF114" s="2"/>
      <c r="CG114" s="2"/>
      <c r="CH114" s="2"/>
      <c r="CI114" s="2"/>
      <c r="CK114" s="2" t="s">
        <v>2766</v>
      </c>
      <c r="CL114" s="2" t="s">
        <v>784</v>
      </c>
      <c r="CM114" s="2" t="s">
        <v>785</v>
      </c>
    </row>
    <row r="115" spans="1:94" ht="152" customHeight="1" x14ac:dyDescent="0.45">
      <c r="A115" s="2">
        <v>0</v>
      </c>
      <c r="B115" s="2">
        <v>5</v>
      </c>
      <c r="C115" s="2" t="s">
        <v>2767</v>
      </c>
      <c r="D115" s="2"/>
      <c r="E115" s="2" t="s">
        <v>2458</v>
      </c>
      <c r="F115" s="2" t="s">
        <v>1168</v>
      </c>
      <c r="G115" s="2" t="s">
        <v>2458</v>
      </c>
      <c r="H115" s="2" t="s">
        <v>2768</v>
      </c>
      <c r="I115" s="2" t="s">
        <v>2768</v>
      </c>
      <c r="J115" s="2" t="s">
        <v>1168</v>
      </c>
      <c r="K115" s="2" t="s">
        <v>2458</v>
      </c>
      <c r="L115" s="2" t="s">
        <v>2458</v>
      </c>
      <c r="M115" s="2" t="s">
        <v>2769</v>
      </c>
      <c r="N115" s="2" t="s">
        <v>2770</v>
      </c>
      <c r="O115" s="2"/>
      <c r="P115" s="2" t="s">
        <v>2771</v>
      </c>
      <c r="Q115" s="2" t="s">
        <v>2771</v>
      </c>
      <c r="R115" s="2" t="s">
        <v>2772</v>
      </c>
      <c r="S115" s="2" t="s">
        <v>2771</v>
      </c>
      <c r="T115" s="2">
        <v>87</v>
      </c>
      <c r="U115" s="2">
        <v>4</v>
      </c>
      <c r="V115" s="2" t="s">
        <v>2773</v>
      </c>
      <c r="W115" s="2"/>
      <c r="X115" s="2"/>
      <c r="Y115" s="2"/>
      <c r="Z115" s="2" t="s">
        <v>2774</v>
      </c>
      <c r="AA115" s="2" t="s">
        <v>2775</v>
      </c>
      <c r="AB115" s="2">
        <v>10</v>
      </c>
      <c r="AC115" s="2" t="s">
        <v>214</v>
      </c>
      <c r="AD115" s="2" t="s">
        <v>2776</v>
      </c>
      <c r="AE115" s="2">
        <v>136</v>
      </c>
      <c r="AF115" s="2" t="s">
        <v>180</v>
      </c>
      <c r="AG115" s="2"/>
      <c r="AH115" s="2"/>
      <c r="AI115" s="2" t="s">
        <v>2777</v>
      </c>
      <c r="AJ115" s="2"/>
      <c r="AK115" s="2" t="s">
        <v>1816</v>
      </c>
      <c r="AL115" s="2" t="s">
        <v>2778</v>
      </c>
      <c r="AM115" s="2" t="s">
        <v>2779</v>
      </c>
      <c r="AN115" s="2" t="s">
        <v>2780</v>
      </c>
      <c r="AO115" s="2" t="s">
        <v>2781</v>
      </c>
      <c r="AP115" s="2">
        <v>713340000</v>
      </c>
      <c r="AQ115" s="2">
        <v>713340000</v>
      </c>
      <c r="AR115" s="2" t="s">
        <v>253</v>
      </c>
      <c r="AS115" s="2">
        <v>82422148</v>
      </c>
      <c r="AT115" s="2" t="s">
        <v>2782</v>
      </c>
      <c r="AU115" s="2"/>
      <c r="AV115" s="2"/>
      <c r="AW115" s="2" t="s">
        <v>1821</v>
      </c>
      <c r="AX115" s="2">
        <v>90108216</v>
      </c>
      <c r="AY115" s="2" t="s">
        <v>2783</v>
      </c>
      <c r="AZ115" s="2" t="s">
        <v>2784</v>
      </c>
      <c r="BA115" s="2" t="s">
        <v>2785</v>
      </c>
      <c r="BB115" s="2">
        <v>0</v>
      </c>
      <c r="BC115" s="3" t="str">
        <f>HYPERLINK("https://patentscout.innography.com/share/9TTHuNEXMeQ7iq3FZQuMkA%3D%3D","CN114780868")</f>
        <v>CN114780868</v>
      </c>
      <c r="BD115" s="2" t="s">
        <v>2786</v>
      </c>
      <c r="BE115" s="2" t="s">
        <v>2787</v>
      </c>
      <c r="BF115" s="2" t="s">
        <v>2788</v>
      </c>
      <c r="BG115" s="2" t="str">
        <f>HYPERLINK("https://patentscout.innography.com/share/9TTHuNEXMeQ7iq3FZQuMkA%3D%3D/download", "Download PDF")</f>
        <v>Download PDF</v>
      </c>
      <c r="BH115" s="2" t="s">
        <v>2789</v>
      </c>
      <c r="BI115" s="2"/>
      <c r="BJ115" s="2" t="s">
        <v>2790</v>
      </c>
      <c r="BK115" s="2" t="s">
        <v>2790</v>
      </c>
      <c r="BL115" s="2" t="s">
        <v>2790</v>
      </c>
      <c r="BM115" s="2"/>
      <c r="BN115" s="2"/>
      <c r="BO115" s="2"/>
      <c r="BP115" s="2"/>
      <c r="BQ115" s="2"/>
      <c r="BR115" s="2"/>
      <c r="BS115" s="2"/>
      <c r="BT115" s="2"/>
      <c r="BU115" s="2"/>
      <c r="BV115" s="2"/>
      <c r="BW115" s="2"/>
      <c r="BX115" s="2"/>
      <c r="BY115" s="2"/>
      <c r="BZ115" s="2"/>
      <c r="CA115" s="2"/>
      <c r="CB115" s="2"/>
      <c r="CC115" s="2" t="s">
        <v>1829</v>
      </c>
      <c r="CD115" s="2" t="str">
        <f>HYPERLINK("https://patentscout.innography.com/share/9TTHuNEXMeQ7iq3FZQuMkA%3D%3D", "Innography Link")</f>
        <v>Innography Link</v>
      </c>
      <c r="CE115" s="2"/>
      <c r="CF115" s="2"/>
      <c r="CG115" s="2"/>
      <c r="CH115" s="2"/>
      <c r="CI115" s="2"/>
      <c r="CK115" s="2" t="s">
        <v>2791</v>
      </c>
      <c r="CL115" s="2" t="s">
        <v>2792</v>
      </c>
    </row>
    <row r="116" spans="1:94" ht="152" customHeight="1" x14ac:dyDescent="0.45">
      <c r="A116" s="2">
        <v>0</v>
      </c>
      <c r="B116" s="2">
        <v>5</v>
      </c>
      <c r="C116" s="2" t="s">
        <v>2793</v>
      </c>
      <c r="D116" s="2"/>
      <c r="E116" s="2"/>
      <c r="F116" s="2" t="s">
        <v>2794</v>
      </c>
      <c r="G116" s="2" t="s">
        <v>2794</v>
      </c>
      <c r="H116" s="2" t="s">
        <v>1643</v>
      </c>
      <c r="I116" s="2" t="s">
        <v>1643</v>
      </c>
      <c r="J116" s="2" t="s">
        <v>1644</v>
      </c>
      <c r="K116" s="2" t="s">
        <v>2794</v>
      </c>
      <c r="L116" s="2" t="s">
        <v>2794</v>
      </c>
      <c r="M116" s="2" t="s">
        <v>2795</v>
      </c>
      <c r="N116" s="2" t="s">
        <v>2796</v>
      </c>
      <c r="O116" s="2"/>
      <c r="P116" s="2" t="s">
        <v>1647</v>
      </c>
      <c r="Q116" s="2" t="s">
        <v>1648</v>
      </c>
      <c r="R116" s="2" t="s">
        <v>1648</v>
      </c>
      <c r="S116" s="2" t="s">
        <v>1647</v>
      </c>
      <c r="T116" s="2">
        <v>87</v>
      </c>
      <c r="U116" s="2">
        <v>7</v>
      </c>
      <c r="V116" s="2" t="s">
        <v>2797</v>
      </c>
      <c r="W116" s="2"/>
      <c r="X116" s="2"/>
      <c r="Y116" s="2"/>
      <c r="Z116" s="2" t="s">
        <v>2798</v>
      </c>
      <c r="AA116" s="2" t="s">
        <v>2799</v>
      </c>
      <c r="AB116" s="2">
        <v>12</v>
      </c>
      <c r="AC116" s="2" t="s">
        <v>235</v>
      </c>
      <c r="AD116" s="2" t="s">
        <v>1652</v>
      </c>
      <c r="AE116" s="2">
        <v>997</v>
      </c>
      <c r="AF116" s="2" t="s">
        <v>141</v>
      </c>
      <c r="AG116" s="2"/>
      <c r="AH116" s="2"/>
      <c r="AI116" s="2"/>
      <c r="AJ116" s="2"/>
      <c r="AK116" s="2" t="s">
        <v>217</v>
      </c>
      <c r="AL116" s="2" t="s">
        <v>298</v>
      </c>
      <c r="AM116" s="2" t="s">
        <v>298</v>
      </c>
      <c r="AN116" s="2" t="s">
        <v>359</v>
      </c>
      <c r="AO116" s="2" t="s">
        <v>2800</v>
      </c>
      <c r="AP116" s="2">
        <v>705348000</v>
      </c>
      <c r="AQ116" s="2">
        <v>705348000</v>
      </c>
      <c r="AR116" s="2" t="s">
        <v>253</v>
      </c>
      <c r="AS116" s="2">
        <v>82803662</v>
      </c>
      <c r="AT116" s="2" t="s">
        <v>2801</v>
      </c>
      <c r="AU116" s="2"/>
      <c r="AV116" s="2"/>
      <c r="AW116" s="2" t="s">
        <v>336</v>
      </c>
      <c r="AX116" s="2">
        <v>90039462</v>
      </c>
      <c r="AY116" s="2" t="s">
        <v>2802</v>
      </c>
      <c r="AZ116" s="2" t="s">
        <v>2803</v>
      </c>
      <c r="BA116" s="2" t="s">
        <v>1657</v>
      </c>
      <c r="BB116" s="2">
        <v>0</v>
      </c>
      <c r="BC116" s="3" t="str">
        <f>HYPERLINK("https://patentscout.innography.com/share/thCn7QIHLzkjUnEHX-EaRQ%3D%3D","KR102432248")</f>
        <v>KR102432248</v>
      </c>
      <c r="BD116" s="2" t="s">
        <v>2804</v>
      </c>
      <c r="BE116" s="2" t="s">
        <v>2805</v>
      </c>
      <c r="BF116" s="2" t="s">
        <v>2806</v>
      </c>
      <c r="BG116" s="2" t="str">
        <f>HYPERLINK("https://patentscout.innography.com/share/thCn7QIHLzkjUnEHX-EaRQ%3D%3D/download", "Download PDF")</f>
        <v>Download PDF</v>
      </c>
      <c r="BH116" s="2" t="s">
        <v>2807</v>
      </c>
      <c r="BI116" s="2"/>
      <c r="BJ116" s="2" t="s">
        <v>2808</v>
      </c>
      <c r="BK116" s="2" t="s">
        <v>2808</v>
      </c>
      <c r="BL116" s="2" t="s">
        <v>2808</v>
      </c>
      <c r="BM116" s="2"/>
      <c r="BN116" s="2"/>
      <c r="BO116" s="2"/>
      <c r="BP116" s="2"/>
      <c r="BQ116" s="2"/>
      <c r="BR116" s="2"/>
      <c r="BS116" s="2"/>
      <c r="BT116" s="2"/>
      <c r="BU116" s="2"/>
      <c r="BV116" s="2"/>
      <c r="BW116" s="2"/>
      <c r="BX116" s="2"/>
      <c r="BY116" s="2"/>
      <c r="BZ116" s="2"/>
      <c r="CA116" s="2"/>
      <c r="CB116" s="2"/>
      <c r="CC116" s="2" t="s">
        <v>243</v>
      </c>
      <c r="CD116" s="2" t="str">
        <f>HYPERLINK("https://patentscout.innography.com/share/thCn7QIHLzkjUnEHX-EaRQ%3D%3D", "Innography Link")</f>
        <v>Innography Link</v>
      </c>
      <c r="CE116" s="2"/>
      <c r="CF116" s="2"/>
      <c r="CG116" s="2"/>
      <c r="CH116" s="2"/>
      <c r="CI116" s="2"/>
      <c r="CK116" s="2" t="s">
        <v>2809</v>
      </c>
      <c r="CL116" s="2" t="s">
        <v>780</v>
      </c>
      <c r="CM116" s="2" t="s">
        <v>854</v>
      </c>
      <c r="CN116" s="2" t="s">
        <v>602</v>
      </c>
      <c r="CO116" s="2" t="s">
        <v>372</v>
      </c>
      <c r="CP116" s="2" t="s">
        <v>2810</v>
      </c>
    </row>
    <row r="117" spans="1:94" ht="152" customHeight="1" x14ac:dyDescent="0.45">
      <c r="A117" s="2">
        <v>0</v>
      </c>
      <c r="B117" s="2">
        <v>4</v>
      </c>
      <c r="C117" s="2" t="s">
        <v>2811</v>
      </c>
      <c r="D117" s="2"/>
      <c r="E117" s="2"/>
      <c r="F117" s="2" t="s">
        <v>1342</v>
      </c>
      <c r="G117" s="2" t="s">
        <v>1342</v>
      </c>
      <c r="H117" s="2" t="s">
        <v>2812</v>
      </c>
      <c r="I117" s="2" t="s">
        <v>2812</v>
      </c>
      <c r="J117" s="2" t="s">
        <v>2813</v>
      </c>
      <c r="K117" s="2" t="s">
        <v>1342</v>
      </c>
      <c r="L117" s="2" t="s">
        <v>1342</v>
      </c>
      <c r="M117" s="2" t="s">
        <v>2814</v>
      </c>
      <c r="N117" s="2" t="s">
        <v>2815</v>
      </c>
      <c r="O117" s="2"/>
      <c r="P117" s="2" t="s">
        <v>2816</v>
      </c>
      <c r="Q117" s="2" t="s">
        <v>2816</v>
      </c>
      <c r="R117" s="2" t="s">
        <v>2817</v>
      </c>
      <c r="S117" s="2" t="s">
        <v>2816</v>
      </c>
      <c r="T117" s="2">
        <v>87</v>
      </c>
      <c r="U117" s="2">
        <v>4</v>
      </c>
      <c r="V117" s="2" t="s">
        <v>2818</v>
      </c>
      <c r="W117" s="2"/>
      <c r="X117" s="2"/>
      <c r="Y117" s="2"/>
      <c r="Z117" s="2" t="s">
        <v>2819</v>
      </c>
      <c r="AA117" s="2" t="s">
        <v>2820</v>
      </c>
      <c r="AB117" s="2">
        <v>5</v>
      </c>
      <c r="AC117" s="2" t="s">
        <v>235</v>
      </c>
      <c r="AD117" s="2" t="s">
        <v>2821</v>
      </c>
      <c r="AE117" s="2">
        <v>1151</v>
      </c>
      <c r="AF117" s="2" t="s">
        <v>141</v>
      </c>
      <c r="AG117" s="2"/>
      <c r="AH117" s="2"/>
      <c r="AI117" s="2"/>
      <c r="AJ117" s="2"/>
      <c r="AK117" s="2" t="s">
        <v>217</v>
      </c>
      <c r="AL117" s="2" t="s">
        <v>1373</v>
      </c>
      <c r="AM117" s="2" t="s">
        <v>1373</v>
      </c>
      <c r="AN117" s="2" t="s">
        <v>539</v>
      </c>
      <c r="AO117" s="2" t="s">
        <v>2822</v>
      </c>
      <c r="AP117" s="2">
        <v>705348000</v>
      </c>
      <c r="AQ117" s="2">
        <v>705348000</v>
      </c>
      <c r="AR117" s="2" t="s">
        <v>253</v>
      </c>
      <c r="AS117" s="2">
        <v>83279675</v>
      </c>
      <c r="AT117" s="2" t="s">
        <v>2823</v>
      </c>
      <c r="AU117" s="2"/>
      <c r="AV117" s="2"/>
      <c r="AW117" s="2" t="s">
        <v>336</v>
      </c>
      <c r="AX117" s="2">
        <v>90788869</v>
      </c>
      <c r="AY117" s="2" t="s">
        <v>2824</v>
      </c>
      <c r="AZ117" s="2" t="s">
        <v>2825</v>
      </c>
      <c r="BA117" s="2" t="s">
        <v>2826</v>
      </c>
      <c r="BB117" s="2">
        <v>0</v>
      </c>
      <c r="BC117" s="3" t="str">
        <f>HYPERLINK("https://patentscout.innography.com/share/7fasoaO2gmLi0dU4hateMQ%3D%3D","KR102442042")</f>
        <v>KR102442042</v>
      </c>
      <c r="BD117" s="2" t="s">
        <v>2827</v>
      </c>
      <c r="BE117" s="2" t="s">
        <v>2828</v>
      </c>
      <c r="BF117" s="2" t="s">
        <v>2829</v>
      </c>
      <c r="BG117" s="2" t="str">
        <f>HYPERLINK("https://patentscout.innography.com/share/7fasoaO2gmLi0dU4hateMQ%3D%3D/download", "Download PDF")</f>
        <v>Download PDF</v>
      </c>
      <c r="BH117" s="2" t="s">
        <v>2830</v>
      </c>
      <c r="BI117" s="2"/>
      <c r="BJ117" s="2" t="s">
        <v>2831</v>
      </c>
      <c r="BK117" s="2" t="s">
        <v>2831</v>
      </c>
      <c r="BL117" s="2" t="s">
        <v>2831</v>
      </c>
      <c r="BM117" s="2"/>
      <c r="BN117" s="2"/>
      <c r="BO117" s="2"/>
      <c r="BP117" s="2"/>
      <c r="BQ117" s="2"/>
      <c r="BR117" s="2"/>
      <c r="BS117" s="2"/>
      <c r="BT117" s="2"/>
      <c r="BU117" s="2"/>
      <c r="BV117" s="2"/>
      <c r="BW117" s="2"/>
      <c r="BX117" s="2"/>
      <c r="BY117" s="2"/>
      <c r="BZ117" s="2"/>
      <c r="CA117" s="2"/>
      <c r="CB117" s="2"/>
      <c r="CC117" s="2" t="s">
        <v>243</v>
      </c>
      <c r="CD117" s="2" t="str">
        <f>HYPERLINK("https://patentscout.innography.com/share/7fasoaO2gmLi0dU4hateMQ%3D%3D", "Innography Link")</f>
        <v>Innography Link</v>
      </c>
      <c r="CE117" s="2"/>
      <c r="CF117" s="2"/>
      <c r="CG117" s="2"/>
      <c r="CH117" s="2"/>
      <c r="CI117" s="2"/>
      <c r="CK117" s="2" t="s">
        <v>2832</v>
      </c>
      <c r="CL117" s="2" t="s">
        <v>371</v>
      </c>
      <c r="CM117" s="2" t="s">
        <v>497</v>
      </c>
    </row>
    <row r="118" spans="1:94" ht="152" customHeight="1" x14ac:dyDescent="0.45">
      <c r="A118" s="2">
        <v>0</v>
      </c>
      <c r="B118" s="2">
        <v>5</v>
      </c>
      <c r="C118" s="2" t="s">
        <v>2833</v>
      </c>
      <c r="D118" s="2"/>
      <c r="E118" s="2"/>
      <c r="F118" s="2" t="s">
        <v>2834</v>
      </c>
      <c r="G118" s="2" t="s">
        <v>2834</v>
      </c>
      <c r="H118" s="2" t="s">
        <v>787</v>
      </c>
      <c r="I118" s="2" t="s">
        <v>787</v>
      </c>
      <c r="J118" s="2" t="s">
        <v>2835</v>
      </c>
      <c r="K118" s="2" t="s">
        <v>2834</v>
      </c>
      <c r="L118" s="2" t="s">
        <v>2834</v>
      </c>
      <c r="M118" s="2" t="s">
        <v>2836</v>
      </c>
      <c r="N118" s="2" t="s">
        <v>2837</v>
      </c>
      <c r="O118" s="2" t="s">
        <v>2838</v>
      </c>
      <c r="P118" s="2" t="s">
        <v>2839</v>
      </c>
      <c r="Q118" s="2" t="s">
        <v>2840</v>
      </c>
      <c r="R118" s="2" t="s">
        <v>2840</v>
      </c>
      <c r="S118" s="2" t="s">
        <v>2839</v>
      </c>
      <c r="T118" s="2">
        <v>87</v>
      </c>
      <c r="U118" s="2">
        <v>6</v>
      </c>
      <c r="V118" s="2" t="s">
        <v>2841</v>
      </c>
      <c r="W118" s="2"/>
      <c r="X118" s="2"/>
      <c r="Y118" s="2"/>
      <c r="Z118" s="2" t="s">
        <v>2842</v>
      </c>
      <c r="AA118" s="2" t="s">
        <v>2843</v>
      </c>
      <c r="AB118" s="2">
        <v>8</v>
      </c>
      <c r="AC118" s="2" t="s">
        <v>235</v>
      </c>
      <c r="AD118" s="2" t="s">
        <v>2844</v>
      </c>
      <c r="AE118" s="2">
        <v>256</v>
      </c>
      <c r="AF118" s="2" t="s">
        <v>141</v>
      </c>
      <c r="AG118" s="2"/>
      <c r="AH118" s="2"/>
      <c r="AI118" s="2"/>
      <c r="AJ118" s="2"/>
      <c r="AK118" s="2" t="s">
        <v>217</v>
      </c>
      <c r="AL118" s="2" t="s">
        <v>2845</v>
      </c>
      <c r="AM118" s="2" t="s">
        <v>2845</v>
      </c>
      <c r="AN118" s="2" t="s">
        <v>2846</v>
      </c>
      <c r="AO118" s="2" t="s">
        <v>2847</v>
      </c>
      <c r="AP118" s="2">
        <v>348124000</v>
      </c>
      <c r="AQ118" s="2">
        <v>348124000</v>
      </c>
      <c r="AR118" s="2" t="s">
        <v>253</v>
      </c>
      <c r="AS118" s="2">
        <v>84040329</v>
      </c>
      <c r="AT118" s="2" t="s">
        <v>2848</v>
      </c>
      <c r="AU118" s="2"/>
      <c r="AV118" s="2"/>
      <c r="AW118" s="2" t="s">
        <v>336</v>
      </c>
      <c r="AX118" s="2">
        <v>92599728</v>
      </c>
      <c r="AY118" s="2" t="s">
        <v>2849</v>
      </c>
      <c r="AZ118" s="2" t="s">
        <v>2850</v>
      </c>
      <c r="BA118" s="2" t="s">
        <v>2851</v>
      </c>
      <c r="BB118" s="2">
        <v>0</v>
      </c>
      <c r="BC118" s="3" t="str">
        <f>HYPERLINK("https://patentscout.innography.com/share/JRS-PBR7lpD-k9uvROQbaQ%3D%3D","KR102465228")</f>
        <v>KR102465228</v>
      </c>
      <c r="BD118" s="2" t="s">
        <v>2852</v>
      </c>
      <c r="BE118" s="2" t="s">
        <v>2853</v>
      </c>
      <c r="BF118" s="2" t="s">
        <v>2854</v>
      </c>
      <c r="BG118" s="2" t="str">
        <f>HYPERLINK("https://patentscout.innography.com/share/JRS-PBR7lpD-k9uvROQbaQ%3D%3D/download", "Download PDF")</f>
        <v>Download PDF</v>
      </c>
      <c r="BH118" s="2" t="s">
        <v>2855</v>
      </c>
      <c r="BI118" s="2"/>
      <c r="BJ118" s="2" t="s">
        <v>2856</v>
      </c>
      <c r="BK118" s="2" t="s">
        <v>2856</v>
      </c>
      <c r="BL118" s="2" t="s">
        <v>2856</v>
      </c>
      <c r="BM118" s="2"/>
      <c r="BN118" s="2"/>
      <c r="BO118" s="2"/>
      <c r="BP118" s="2"/>
      <c r="BQ118" s="2"/>
      <c r="BR118" s="2"/>
      <c r="BS118" s="2"/>
      <c r="BT118" s="2"/>
      <c r="BU118" s="2"/>
      <c r="BV118" s="2"/>
      <c r="BW118" s="2"/>
      <c r="BX118" s="2"/>
      <c r="BY118" s="2"/>
      <c r="BZ118" s="2"/>
      <c r="CA118" s="2"/>
      <c r="CB118" s="2"/>
      <c r="CC118" s="2" t="s">
        <v>243</v>
      </c>
      <c r="CD118" s="2" t="str">
        <f>HYPERLINK("https://patentscout.innography.com/share/JRS-PBR7lpD-k9uvROQbaQ%3D%3D", "Innography Link")</f>
        <v>Innography Link</v>
      </c>
      <c r="CE118" s="2"/>
      <c r="CF118" s="2"/>
      <c r="CG118" s="2"/>
      <c r="CH118" s="2"/>
      <c r="CI118" s="2"/>
      <c r="CK118" s="2" t="s">
        <v>2857</v>
      </c>
      <c r="CL118" s="2" t="s">
        <v>780</v>
      </c>
      <c r="CM118" s="2" t="s">
        <v>2858</v>
      </c>
      <c r="CN118" s="2" t="s">
        <v>601</v>
      </c>
    </row>
    <row r="119" spans="1:94" ht="152" customHeight="1" x14ac:dyDescent="0.45">
      <c r="A119" s="2">
        <v>0</v>
      </c>
      <c r="B119" s="2">
        <v>4</v>
      </c>
      <c r="C119" s="2" t="s">
        <v>2859</v>
      </c>
      <c r="D119" s="2"/>
      <c r="E119" s="2"/>
      <c r="F119" s="2" t="s">
        <v>2860</v>
      </c>
      <c r="G119" s="2" t="s">
        <v>2860</v>
      </c>
      <c r="H119" s="2" t="s">
        <v>1222</v>
      </c>
      <c r="I119" s="2" t="s">
        <v>1222</v>
      </c>
      <c r="J119" s="2" t="s">
        <v>1294</v>
      </c>
      <c r="K119" s="2" t="s">
        <v>2860</v>
      </c>
      <c r="L119" s="2" t="s">
        <v>2860</v>
      </c>
      <c r="M119" s="2" t="s">
        <v>2181</v>
      </c>
      <c r="N119" s="2" t="s">
        <v>2861</v>
      </c>
      <c r="O119" s="2"/>
      <c r="P119" s="2" t="s">
        <v>2183</v>
      </c>
      <c r="Q119" s="2"/>
      <c r="R119" s="2"/>
      <c r="S119" s="2" t="s">
        <v>2183</v>
      </c>
      <c r="T119" s="2">
        <v>87</v>
      </c>
      <c r="U119" s="2">
        <v>2</v>
      </c>
      <c r="V119" s="2" t="s">
        <v>2862</v>
      </c>
      <c r="W119" s="2"/>
      <c r="X119" s="2"/>
      <c r="Y119" s="2"/>
      <c r="Z119" s="2" t="s">
        <v>2863</v>
      </c>
      <c r="AA119" s="2" t="s">
        <v>2864</v>
      </c>
      <c r="AB119" s="2">
        <v>2</v>
      </c>
      <c r="AC119" s="2" t="s">
        <v>235</v>
      </c>
      <c r="AD119" s="2" t="s">
        <v>2183</v>
      </c>
      <c r="AE119" s="2">
        <v>401</v>
      </c>
      <c r="AF119" s="2" t="s">
        <v>141</v>
      </c>
      <c r="AG119" s="2"/>
      <c r="AH119" s="2"/>
      <c r="AI119" s="2"/>
      <c r="AJ119" s="2"/>
      <c r="AK119" s="2" t="s">
        <v>217</v>
      </c>
      <c r="AL119" s="2" t="s">
        <v>2865</v>
      </c>
      <c r="AM119" s="2" t="s">
        <v>2865</v>
      </c>
      <c r="AN119" s="2" t="s">
        <v>2866</v>
      </c>
      <c r="AO119" s="2" t="s">
        <v>2867</v>
      </c>
      <c r="AP119" s="2">
        <v>705348000</v>
      </c>
      <c r="AQ119" s="2">
        <v>705348000</v>
      </c>
      <c r="AR119" s="2" t="s">
        <v>253</v>
      </c>
      <c r="AS119" s="2">
        <v>83279903</v>
      </c>
      <c r="AT119" s="2" t="s">
        <v>2868</v>
      </c>
      <c r="AU119" s="2"/>
      <c r="AV119" s="2"/>
      <c r="AW119" s="2" t="s">
        <v>336</v>
      </c>
      <c r="AX119" s="2">
        <v>90788572</v>
      </c>
      <c r="AY119" s="2" t="s">
        <v>2869</v>
      </c>
      <c r="AZ119" s="2" t="s">
        <v>2870</v>
      </c>
      <c r="BA119" s="2" t="s">
        <v>1309</v>
      </c>
      <c r="BB119" s="2">
        <v>0</v>
      </c>
      <c r="BC119" s="3" t="str">
        <f>HYPERLINK("https://patentscout.innography.com/share/18vO1d5V2XiT0zaI8XaXSA%3D%3D","KR102440745")</f>
        <v>KR102440745</v>
      </c>
      <c r="BD119" s="2" t="s">
        <v>2871</v>
      </c>
      <c r="BE119" s="2" t="s">
        <v>2872</v>
      </c>
      <c r="BF119" s="2" t="s">
        <v>2873</v>
      </c>
      <c r="BG119" s="2" t="str">
        <f>HYPERLINK("https://patentscout.innography.com/share/18vO1d5V2XiT0zaI8XaXSA%3D%3D/download", "Download PDF")</f>
        <v>Download PDF</v>
      </c>
      <c r="BH119" s="2" t="s">
        <v>2874</v>
      </c>
      <c r="BI119" s="2"/>
      <c r="BJ119" s="2" t="s">
        <v>2875</v>
      </c>
      <c r="BK119" s="2" t="s">
        <v>2875</v>
      </c>
      <c r="BL119" s="2" t="s">
        <v>2875</v>
      </c>
      <c r="BM119" s="2"/>
      <c r="BN119" s="2"/>
      <c r="BO119" s="2"/>
      <c r="BP119" s="2"/>
      <c r="BQ119" s="2"/>
      <c r="BR119" s="2"/>
      <c r="BS119" s="2"/>
      <c r="BT119" s="2"/>
      <c r="BU119" s="2"/>
      <c r="BV119" s="2"/>
      <c r="BW119" s="2"/>
      <c r="BX119" s="2"/>
      <c r="BY119" s="2"/>
      <c r="BZ119" s="2"/>
      <c r="CA119" s="2"/>
      <c r="CB119" s="2"/>
      <c r="CC119" s="2" t="s">
        <v>243</v>
      </c>
      <c r="CD119" s="2" t="str">
        <f>HYPERLINK("https://patentscout.innography.com/share/18vO1d5V2XiT0zaI8XaXSA%3D%3D", "Innography Link")</f>
        <v>Innography Link</v>
      </c>
      <c r="CE119" s="2"/>
      <c r="CF119" s="2"/>
      <c r="CG119" s="2"/>
      <c r="CH119" s="2"/>
      <c r="CI119" s="2"/>
      <c r="CK119" s="2" t="s">
        <v>2876</v>
      </c>
    </row>
    <row r="120" spans="1:94" ht="152" customHeight="1" x14ac:dyDescent="0.45">
      <c r="A120" s="2">
        <v>0</v>
      </c>
      <c r="B120" s="2">
        <v>2</v>
      </c>
      <c r="C120" s="2" t="s">
        <v>2877</v>
      </c>
      <c r="D120" s="2"/>
      <c r="E120" s="2"/>
      <c r="F120" s="2" t="s">
        <v>1768</v>
      </c>
      <c r="G120" s="2" t="s">
        <v>1768</v>
      </c>
      <c r="H120" s="2" t="s">
        <v>2715</v>
      </c>
      <c r="I120" s="2" t="s">
        <v>2715</v>
      </c>
      <c r="J120" s="2" t="s">
        <v>2716</v>
      </c>
      <c r="K120" s="2" t="s">
        <v>1768</v>
      </c>
      <c r="L120" s="2" t="s">
        <v>1768</v>
      </c>
      <c r="M120" s="2" t="s">
        <v>2878</v>
      </c>
      <c r="N120" s="2" t="s">
        <v>2879</v>
      </c>
      <c r="O120" s="2"/>
      <c r="P120" s="2" t="s">
        <v>2720</v>
      </c>
      <c r="Q120" s="2" t="s">
        <v>2720</v>
      </c>
      <c r="R120" s="2" t="s">
        <v>2721</v>
      </c>
      <c r="S120" s="2" t="s">
        <v>2720</v>
      </c>
      <c r="T120" s="2">
        <v>87</v>
      </c>
      <c r="U120" s="2">
        <v>5</v>
      </c>
      <c r="V120" s="2" t="s">
        <v>2880</v>
      </c>
      <c r="W120" s="2"/>
      <c r="X120" s="2"/>
      <c r="Y120" s="2"/>
      <c r="Z120" s="2" t="s">
        <v>2881</v>
      </c>
      <c r="AA120" s="2" t="s">
        <v>2882</v>
      </c>
      <c r="AB120" s="2">
        <v>11</v>
      </c>
      <c r="AC120" s="2" t="s">
        <v>235</v>
      </c>
      <c r="AD120" s="2" t="s">
        <v>2725</v>
      </c>
      <c r="AE120" s="2">
        <v>271</v>
      </c>
      <c r="AF120" s="2" t="s">
        <v>141</v>
      </c>
      <c r="AG120" s="2"/>
      <c r="AH120" s="2"/>
      <c r="AI120" s="2"/>
      <c r="AJ120" s="2"/>
      <c r="AK120" s="2" t="s">
        <v>217</v>
      </c>
      <c r="AL120" s="2" t="s">
        <v>298</v>
      </c>
      <c r="AM120" s="2" t="s">
        <v>298</v>
      </c>
      <c r="AN120" s="2" t="s">
        <v>359</v>
      </c>
      <c r="AO120" s="2" t="s">
        <v>2883</v>
      </c>
      <c r="AP120" s="2">
        <v>705348000</v>
      </c>
      <c r="AQ120" s="2">
        <v>705348000</v>
      </c>
      <c r="AR120" s="2" t="s">
        <v>253</v>
      </c>
      <c r="AS120" s="2">
        <v>83446854</v>
      </c>
      <c r="AT120" s="2" t="s">
        <v>2884</v>
      </c>
      <c r="AU120" s="2"/>
      <c r="AV120" s="2"/>
      <c r="AW120" s="2" t="s">
        <v>336</v>
      </c>
      <c r="AX120" s="2">
        <v>91255521</v>
      </c>
      <c r="AY120" s="2" t="s">
        <v>2885</v>
      </c>
      <c r="AZ120" s="2" t="s">
        <v>2886</v>
      </c>
      <c r="BA120" s="2" t="s">
        <v>2730</v>
      </c>
      <c r="BB120" s="2">
        <v>0</v>
      </c>
      <c r="BC120" s="3" t="str">
        <f>HYPERLINK("https://patentscout.innography.com/share/rBbcrx99UYr_4-zFbhcEFw%3D%3D","KR102445543")</f>
        <v>KR102445543</v>
      </c>
      <c r="BD120" s="2" t="s">
        <v>2887</v>
      </c>
      <c r="BE120" s="2"/>
      <c r="BF120" s="2" t="s">
        <v>2888</v>
      </c>
      <c r="BG120" s="2" t="str">
        <f>HYPERLINK("https://patentscout.innography.com/share/rBbcrx99UYr_4-zFbhcEFw%3D%3D/download", "Download PDF")</f>
        <v>Download PDF</v>
      </c>
      <c r="BH120" s="2" t="s">
        <v>2889</v>
      </c>
      <c r="BI120" s="2"/>
      <c r="BJ120" s="2" t="s">
        <v>2890</v>
      </c>
      <c r="BK120" s="2" t="s">
        <v>2890</v>
      </c>
      <c r="BL120" s="2" t="s">
        <v>2890</v>
      </c>
      <c r="BM120" s="2"/>
      <c r="BN120" s="2"/>
      <c r="BO120" s="2"/>
      <c r="BP120" s="2"/>
      <c r="BQ120" s="2"/>
      <c r="BR120" s="2"/>
      <c r="BS120" s="2"/>
      <c r="BT120" s="2"/>
      <c r="BU120" s="2"/>
      <c r="BV120" s="2"/>
      <c r="BW120" s="2"/>
      <c r="BX120" s="2"/>
      <c r="BY120" s="2"/>
      <c r="BZ120" s="2"/>
      <c r="CA120" s="2"/>
      <c r="CB120" s="2"/>
      <c r="CC120" s="2" t="s">
        <v>243</v>
      </c>
      <c r="CD120" s="2" t="str">
        <f>HYPERLINK("https://patentscout.innography.com/share/rBbcrx99UYr_4-zFbhcEFw%3D%3D", "Innography Link")</f>
        <v>Innography Link</v>
      </c>
      <c r="CE120" s="2"/>
      <c r="CF120" s="2"/>
      <c r="CG120" s="2"/>
      <c r="CH120" s="2"/>
      <c r="CI120" s="2"/>
      <c r="CK120" s="2" t="s">
        <v>2891</v>
      </c>
      <c r="CL120" s="2" t="s">
        <v>780</v>
      </c>
      <c r="CM120" s="2" t="s">
        <v>497</v>
      </c>
      <c r="CN120" s="2" t="s">
        <v>601</v>
      </c>
    </row>
    <row r="121" spans="1:94" ht="152" customHeight="1" x14ac:dyDescent="0.45">
      <c r="A121" s="2">
        <v>0</v>
      </c>
      <c r="B121" s="2">
        <v>2</v>
      </c>
      <c r="C121" s="2" t="s">
        <v>2892</v>
      </c>
      <c r="D121" s="2"/>
      <c r="E121" s="2"/>
      <c r="F121" s="2" t="s">
        <v>887</v>
      </c>
      <c r="G121" s="2" t="s">
        <v>887</v>
      </c>
      <c r="H121" s="2" t="s">
        <v>2893</v>
      </c>
      <c r="I121" s="2" t="s">
        <v>2893</v>
      </c>
      <c r="J121" s="2" t="s">
        <v>2894</v>
      </c>
      <c r="K121" s="2" t="s">
        <v>887</v>
      </c>
      <c r="L121" s="2" t="s">
        <v>887</v>
      </c>
      <c r="M121" s="2" t="s">
        <v>2895</v>
      </c>
      <c r="N121" s="2" t="s">
        <v>2896</v>
      </c>
      <c r="O121" s="2"/>
      <c r="P121" s="2" t="s">
        <v>2897</v>
      </c>
      <c r="Q121" s="2" t="s">
        <v>2897</v>
      </c>
      <c r="R121" s="2" t="s">
        <v>2898</v>
      </c>
      <c r="S121" s="2" t="s">
        <v>2897</v>
      </c>
      <c r="T121" s="2">
        <v>87</v>
      </c>
      <c r="U121" s="2">
        <v>3</v>
      </c>
      <c r="V121" s="2" t="s">
        <v>2899</v>
      </c>
      <c r="W121" s="2"/>
      <c r="X121" s="2"/>
      <c r="Y121" s="2"/>
      <c r="Z121" s="2" t="s">
        <v>2900</v>
      </c>
      <c r="AA121" s="2" t="s">
        <v>2901</v>
      </c>
      <c r="AB121" s="2">
        <v>5</v>
      </c>
      <c r="AC121" s="2" t="s">
        <v>235</v>
      </c>
      <c r="AD121" s="2" t="s">
        <v>2902</v>
      </c>
      <c r="AE121" s="2">
        <v>389</v>
      </c>
      <c r="AF121" s="2" t="s">
        <v>141</v>
      </c>
      <c r="AG121" s="2"/>
      <c r="AH121" s="2"/>
      <c r="AI121" s="2"/>
      <c r="AJ121" s="2"/>
      <c r="AK121" s="2" t="s">
        <v>217</v>
      </c>
      <c r="AL121" s="2" t="s">
        <v>298</v>
      </c>
      <c r="AM121" s="2" t="s">
        <v>298</v>
      </c>
      <c r="AN121" s="2" t="s">
        <v>359</v>
      </c>
      <c r="AO121" s="2" t="s">
        <v>2903</v>
      </c>
      <c r="AP121" s="2">
        <v>705348000</v>
      </c>
      <c r="AQ121" s="2">
        <v>705348000</v>
      </c>
      <c r="AR121" s="2" t="s">
        <v>253</v>
      </c>
      <c r="AS121" s="2">
        <v>84042471</v>
      </c>
      <c r="AT121" s="2" t="s">
        <v>2904</v>
      </c>
      <c r="AU121" s="2"/>
      <c r="AV121" s="2"/>
      <c r="AW121" s="2" t="s">
        <v>336</v>
      </c>
      <c r="AX121" s="2">
        <v>92598856</v>
      </c>
      <c r="AY121" s="2" t="s">
        <v>2905</v>
      </c>
      <c r="AZ121" s="2" t="s">
        <v>2906</v>
      </c>
      <c r="BA121" s="2" t="s">
        <v>2907</v>
      </c>
      <c r="BB121" s="2">
        <v>0</v>
      </c>
      <c r="BC121" s="3" t="str">
        <f>HYPERLINK("https://patentscout.innography.com/share/puJHM71TI_NKP6_H5qo_Bg%3D%3D","KR102461333")</f>
        <v>KR102461333</v>
      </c>
      <c r="BD121" s="2" t="s">
        <v>2908</v>
      </c>
      <c r="BE121" s="2" t="s">
        <v>2909</v>
      </c>
      <c r="BF121" s="2" t="s">
        <v>2910</v>
      </c>
      <c r="BG121" s="2" t="str">
        <f>HYPERLINK("https://patentscout.innography.com/share/puJHM71TI_NKP6_H5qo_Bg%3D%3D/download", "Download PDF")</f>
        <v>Download PDF</v>
      </c>
      <c r="BH121" s="2" t="s">
        <v>2911</v>
      </c>
      <c r="BI121" s="2"/>
      <c r="BJ121" s="2" t="s">
        <v>2912</v>
      </c>
      <c r="BK121" s="2" t="s">
        <v>2912</v>
      </c>
      <c r="BL121" s="2" t="s">
        <v>2912</v>
      </c>
      <c r="BM121" s="2"/>
      <c r="BN121" s="2"/>
      <c r="BO121" s="2"/>
      <c r="BP121" s="2"/>
      <c r="BQ121" s="2"/>
      <c r="BR121" s="2"/>
      <c r="BS121" s="2"/>
      <c r="BT121" s="2"/>
      <c r="BU121" s="2"/>
      <c r="BV121" s="2"/>
      <c r="BW121" s="2"/>
      <c r="BX121" s="2"/>
      <c r="BY121" s="2"/>
      <c r="BZ121" s="2"/>
      <c r="CA121" s="2"/>
      <c r="CB121" s="2"/>
      <c r="CC121" s="2" t="s">
        <v>243</v>
      </c>
      <c r="CD121" s="2" t="str">
        <f>HYPERLINK("https://patentscout.innography.com/share/puJHM71TI_NKP6_H5qo_Bg%3D%3D", "Innography Link")</f>
        <v>Innography Link</v>
      </c>
      <c r="CE121" s="2"/>
      <c r="CF121" s="2"/>
      <c r="CG121" s="2"/>
      <c r="CH121" s="2"/>
      <c r="CI121" s="2"/>
      <c r="CK121" s="2" t="s">
        <v>2913</v>
      </c>
      <c r="CL121" s="2" t="s">
        <v>497</v>
      </c>
    </row>
    <row r="122" spans="1:94" ht="152" customHeight="1" x14ac:dyDescent="0.45">
      <c r="A122" s="2">
        <v>0</v>
      </c>
      <c r="B122" s="2">
        <v>5</v>
      </c>
      <c r="C122" s="2" t="s">
        <v>2914</v>
      </c>
      <c r="D122" s="2"/>
      <c r="E122" s="2"/>
      <c r="F122" s="2" t="s">
        <v>2915</v>
      </c>
      <c r="G122" s="2" t="s">
        <v>2915</v>
      </c>
      <c r="H122" s="2" t="s">
        <v>2916</v>
      </c>
      <c r="I122" s="2" t="s">
        <v>2916</v>
      </c>
      <c r="J122" s="2" t="s">
        <v>2917</v>
      </c>
      <c r="K122" s="2" t="s">
        <v>2915</v>
      </c>
      <c r="L122" s="2" t="s">
        <v>2915</v>
      </c>
      <c r="M122" s="2" t="s">
        <v>2918</v>
      </c>
      <c r="N122" s="2" t="s">
        <v>2919</v>
      </c>
      <c r="O122" s="2"/>
      <c r="P122" s="2" t="s">
        <v>2920</v>
      </c>
      <c r="Q122" s="2" t="s">
        <v>2920</v>
      </c>
      <c r="R122" s="2" t="s">
        <v>2921</v>
      </c>
      <c r="S122" s="2" t="s">
        <v>2920</v>
      </c>
      <c r="T122" s="2">
        <v>87</v>
      </c>
      <c r="U122" s="2">
        <v>4</v>
      </c>
      <c r="V122" s="2" t="s">
        <v>2922</v>
      </c>
      <c r="W122" s="2"/>
      <c r="X122" s="2"/>
      <c r="Y122" s="2"/>
      <c r="Z122" s="2" t="s">
        <v>2923</v>
      </c>
      <c r="AA122" s="2" t="s">
        <v>2924</v>
      </c>
      <c r="AB122" s="2">
        <v>5</v>
      </c>
      <c r="AC122" s="2" t="s">
        <v>235</v>
      </c>
      <c r="AD122" s="2" t="s">
        <v>2925</v>
      </c>
      <c r="AE122" s="2">
        <v>650</v>
      </c>
      <c r="AF122" s="2" t="s">
        <v>141</v>
      </c>
      <c r="AG122" s="2"/>
      <c r="AH122" s="2"/>
      <c r="AI122" s="2"/>
      <c r="AJ122" s="2"/>
      <c r="AK122" s="2" t="s">
        <v>217</v>
      </c>
      <c r="AL122" s="2" t="s">
        <v>2926</v>
      </c>
      <c r="AM122" s="2" t="s">
        <v>2926</v>
      </c>
      <c r="AN122" s="2" t="s">
        <v>2927</v>
      </c>
      <c r="AO122" s="2" t="s">
        <v>2928</v>
      </c>
      <c r="AP122" s="2">
        <v>705348000</v>
      </c>
      <c r="AQ122" s="2">
        <v>705348000</v>
      </c>
      <c r="AR122" s="2" t="s">
        <v>253</v>
      </c>
      <c r="AS122" s="2">
        <v>84234432</v>
      </c>
      <c r="AT122" s="2" t="s">
        <v>2929</v>
      </c>
      <c r="AU122" s="2"/>
      <c r="AV122" s="2"/>
      <c r="AW122" s="2" t="s">
        <v>336</v>
      </c>
      <c r="AX122" s="2">
        <v>92814267</v>
      </c>
      <c r="AY122" s="2" t="s">
        <v>2930</v>
      </c>
      <c r="AZ122" s="2" t="s">
        <v>2931</v>
      </c>
      <c r="BA122" s="2" t="s">
        <v>2932</v>
      </c>
      <c r="BB122" s="2">
        <v>0</v>
      </c>
      <c r="BC122" s="3" t="str">
        <f>HYPERLINK("https://patentscout.innography.com/share/T9cK6JFBrJZ5AayFbGxjpA%3D%3D","KR102472008")</f>
        <v>KR102472008</v>
      </c>
      <c r="BD122" s="2" t="s">
        <v>2933</v>
      </c>
      <c r="BE122" s="2" t="s">
        <v>2934</v>
      </c>
      <c r="BF122" s="2" t="s">
        <v>2935</v>
      </c>
      <c r="BG122" s="2" t="str">
        <f>HYPERLINK("https://patentscout.innography.com/share/T9cK6JFBrJZ5AayFbGxjpA%3D%3D/download", "Download PDF")</f>
        <v>Download PDF</v>
      </c>
      <c r="BH122" s="2" t="s">
        <v>2936</v>
      </c>
      <c r="BI122" s="2"/>
      <c r="BJ122" s="2" t="s">
        <v>2937</v>
      </c>
      <c r="BK122" s="2" t="s">
        <v>2937</v>
      </c>
      <c r="BL122" s="2" t="s">
        <v>2937</v>
      </c>
      <c r="BM122" s="2"/>
      <c r="BN122" s="2"/>
      <c r="BO122" s="2"/>
      <c r="BP122" s="2"/>
      <c r="BQ122" s="2"/>
      <c r="BR122" s="2"/>
      <c r="BS122" s="2"/>
      <c r="BT122" s="2"/>
      <c r="BU122" s="2"/>
      <c r="BV122" s="2"/>
      <c r="BW122" s="2"/>
      <c r="BX122" s="2"/>
      <c r="BY122" s="2"/>
      <c r="BZ122" s="2"/>
      <c r="CA122" s="2"/>
      <c r="CB122" s="2"/>
      <c r="CC122" s="2" t="s">
        <v>243</v>
      </c>
      <c r="CD122" s="2" t="str">
        <f>HYPERLINK("https://patentscout.innography.com/share/T9cK6JFBrJZ5AayFbGxjpA%3D%3D", "Innography Link")</f>
        <v>Innography Link</v>
      </c>
      <c r="CE122" s="2"/>
      <c r="CF122" s="2"/>
      <c r="CG122" s="2"/>
      <c r="CH122" s="2"/>
      <c r="CI122" s="2"/>
      <c r="CK122" s="2" t="s">
        <v>2938</v>
      </c>
      <c r="CL122" s="2" t="s">
        <v>780</v>
      </c>
      <c r="CM122" s="2" t="s">
        <v>444</v>
      </c>
      <c r="CN122" s="2" t="s">
        <v>371</v>
      </c>
      <c r="CO122" s="2" t="s">
        <v>497</v>
      </c>
    </row>
    <row r="123" spans="1:94" ht="152" customHeight="1" x14ac:dyDescent="0.45">
      <c r="A123" s="2">
        <v>1</v>
      </c>
      <c r="B123" s="2">
        <v>6</v>
      </c>
      <c r="C123" s="2" t="s">
        <v>2939</v>
      </c>
      <c r="D123" s="2" t="s">
        <v>2940</v>
      </c>
      <c r="E123" s="2"/>
      <c r="F123" s="2" t="s">
        <v>352</v>
      </c>
      <c r="G123" s="2" t="s">
        <v>352</v>
      </c>
      <c r="H123" s="2" t="s">
        <v>2941</v>
      </c>
      <c r="I123" s="2" t="s">
        <v>2942</v>
      </c>
      <c r="J123" s="2" t="s">
        <v>2943</v>
      </c>
      <c r="K123" s="2" t="s">
        <v>352</v>
      </c>
      <c r="L123" s="2" t="s">
        <v>352</v>
      </c>
      <c r="M123" s="2" t="s">
        <v>2944</v>
      </c>
      <c r="N123" s="2" t="s">
        <v>2945</v>
      </c>
      <c r="O123" s="2" t="s">
        <v>2946</v>
      </c>
      <c r="P123" s="2" t="s">
        <v>2947</v>
      </c>
      <c r="Q123" s="2" t="s">
        <v>2947</v>
      </c>
      <c r="R123" s="2" t="s">
        <v>2948</v>
      </c>
      <c r="S123" s="2" t="s">
        <v>2947</v>
      </c>
      <c r="T123" s="2">
        <v>87</v>
      </c>
      <c r="U123" s="2">
        <v>55</v>
      </c>
      <c r="V123" s="2" t="s">
        <v>2949</v>
      </c>
      <c r="W123" s="2"/>
      <c r="X123" s="2"/>
      <c r="Y123" s="2"/>
      <c r="Z123" s="2" t="s">
        <v>2950</v>
      </c>
      <c r="AA123" s="2" t="s">
        <v>2951</v>
      </c>
      <c r="AB123" s="2">
        <v>4</v>
      </c>
      <c r="AC123" s="2" t="s">
        <v>235</v>
      </c>
      <c r="AD123" s="2" t="s">
        <v>2952</v>
      </c>
      <c r="AE123" s="2">
        <v>252</v>
      </c>
      <c r="AF123" s="2" t="s">
        <v>141</v>
      </c>
      <c r="AG123" s="2"/>
      <c r="AH123" s="2"/>
      <c r="AI123" s="2"/>
      <c r="AJ123" s="2"/>
      <c r="AK123" s="2" t="s">
        <v>217</v>
      </c>
      <c r="AL123" s="2" t="s">
        <v>298</v>
      </c>
      <c r="AM123" s="2" t="s">
        <v>298</v>
      </c>
      <c r="AN123" s="2" t="s">
        <v>359</v>
      </c>
      <c r="AO123" s="2" t="s">
        <v>2953</v>
      </c>
      <c r="AP123" s="2">
        <v>705348000</v>
      </c>
      <c r="AQ123" s="2">
        <v>705348000</v>
      </c>
      <c r="AR123" s="2" t="s">
        <v>185</v>
      </c>
      <c r="AS123" s="2">
        <v>81984978</v>
      </c>
      <c r="AT123" s="2" t="s">
        <v>2954</v>
      </c>
      <c r="AU123" s="2"/>
      <c r="AV123" s="2"/>
      <c r="AW123" s="2" t="s">
        <v>336</v>
      </c>
      <c r="AX123" s="2">
        <v>88613949</v>
      </c>
      <c r="AY123" s="2" t="s">
        <v>2955</v>
      </c>
      <c r="AZ123" s="2" t="s">
        <v>2956</v>
      </c>
      <c r="BA123" s="2" t="s">
        <v>2957</v>
      </c>
      <c r="BB123" s="2">
        <v>0</v>
      </c>
      <c r="BC123" s="3" t="str">
        <f>HYPERLINK("https://patentscout.innography.com/share/ulvH0J8EeeEnw7nqfxzlaA%3D%3D","KR102404585")</f>
        <v>KR102404585</v>
      </c>
      <c r="BD123" s="2" t="s">
        <v>2958</v>
      </c>
      <c r="BE123" s="2" t="s">
        <v>2959</v>
      </c>
      <c r="BF123" s="2" t="s">
        <v>2960</v>
      </c>
      <c r="BG123" s="2" t="str">
        <f>HYPERLINK("https://patentscout.innography.com/share/ulvH0J8EeeEnw7nqfxzlaA%3D%3D/download", "Download PDF")</f>
        <v>Download PDF</v>
      </c>
      <c r="BH123" s="2" t="s">
        <v>2961</v>
      </c>
      <c r="BI123" s="2"/>
      <c r="BJ123" s="2" t="s">
        <v>2962</v>
      </c>
      <c r="BK123" s="2" t="s">
        <v>2962</v>
      </c>
      <c r="BL123" s="2" t="s">
        <v>2962</v>
      </c>
      <c r="BM123" s="2"/>
      <c r="BN123" s="2"/>
      <c r="BO123" s="2"/>
      <c r="BP123" s="2"/>
      <c r="BQ123" s="2"/>
      <c r="BR123" s="2"/>
      <c r="BS123" s="2"/>
      <c r="BT123" s="2"/>
      <c r="BU123" s="2"/>
      <c r="BV123" s="2"/>
      <c r="BW123" s="2"/>
      <c r="BX123" s="2"/>
      <c r="BY123" s="2"/>
      <c r="BZ123" s="2"/>
      <c r="CA123" s="2"/>
      <c r="CB123" s="2"/>
      <c r="CC123" s="2" t="s">
        <v>243</v>
      </c>
      <c r="CD123" s="2" t="str">
        <f>HYPERLINK("https://patentscout.innography.com/share/ulvH0J8EeeEnw7nqfxzlaA%3D%3D", "Innography Link")</f>
        <v>Innography Link</v>
      </c>
      <c r="CE123" s="2"/>
      <c r="CF123" s="2"/>
      <c r="CG123" s="2"/>
      <c r="CH123" s="2"/>
      <c r="CI123" s="2"/>
      <c r="CK123" s="2" t="s">
        <v>2963</v>
      </c>
      <c r="CL123" s="2" t="s">
        <v>444</v>
      </c>
      <c r="CM123" s="2" t="s">
        <v>371</v>
      </c>
    </row>
    <row r="124" spans="1:94" ht="152" customHeight="1" x14ac:dyDescent="0.45">
      <c r="A124" s="2">
        <v>1</v>
      </c>
      <c r="B124" s="2">
        <v>6</v>
      </c>
      <c r="C124" s="2" t="s">
        <v>2964</v>
      </c>
      <c r="D124" s="2" t="s">
        <v>1718</v>
      </c>
      <c r="E124" s="2"/>
      <c r="F124" s="2" t="s">
        <v>2965</v>
      </c>
      <c r="G124" s="2" t="s">
        <v>2965</v>
      </c>
      <c r="H124" s="2" t="s">
        <v>2966</v>
      </c>
      <c r="I124" s="2" t="s">
        <v>2966</v>
      </c>
      <c r="J124" s="2" t="s">
        <v>2967</v>
      </c>
      <c r="K124" s="2" t="s">
        <v>2965</v>
      </c>
      <c r="L124" s="2" t="s">
        <v>2965</v>
      </c>
      <c r="M124" s="2" t="s">
        <v>2968</v>
      </c>
      <c r="N124" s="2" t="s">
        <v>2969</v>
      </c>
      <c r="O124" s="2" t="s">
        <v>2970</v>
      </c>
      <c r="P124" s="2" t="s">
        <v>2971</v>
      </c>
      <c r="Q124" s="2" t="s">
        <v>2972</v>
      </c>
      <c r="R124" s="2" t="s">
        <v>2973</v>
      </c>
      <c r="S124" s="2" t="s">
        <v>2971</v>
      </c>
      <c r="T124" s="2">
        <v>87</v>
      </c>
      <c r="U124" s="2">
        <v>52</v>
      </c>
      <c r="V124" s="2" t="s">
        <v>2974</v>
      </c>
      <c r="W124" s="2"/>
      <c r="X124" s="2"/>
      <c r="Y124" s="2"/>
      <c r="Z124" s="2" t="s">
        <v>2975</v>
      </c>
      <c r="AA124" s="2" t="s">
        <v>2976</v>
      </c>
      <c r="AB124" s="2">
        <v>3</v>
      </c>
      <c r="AC124" s="2" t="s">
        <v>235</v>
      </c>
      <c r="AD124" s="2" t="s">
        <v>2977</v>
      </c>
      <c r="AE124" s="2">
        <v>384</v>
      </c>
      <c r="AF124" s="2" t="s">
        <v>141</v>
      </c>
      <c r="AG124" s="2"/>
      <c r="AH124" s="2"/>
      <c r="AI124" s="2"/>
      <c r="AJ124" s="2"/>
      <c r="AK124" s="2" t="s">
        <v>217</v>
      </c>
      <c r="AL124" s="2" t="s">
        <v>298</v>
      </c>
      <c r="AM124" s="2" t="s">
        <v>298</v>
      </c>
      <c r="AN124" s="2" t="s">
        <v>359</v>
      </c>
      <c r="AO124" s="2" t="s">
        <v>2978</v>
      </c>
      <c r="AP124" s="2">
        <v>705348000</v>
      </c>
      <c r="AQ124" s="2">
        <v>705348000</v>
      </c>
      <c r="AR124" s="2" t="s">
        <v>185</v>
      </c>
      <c r="AS124" s="2">
        <v>81986274</v>
      </c>
      <c r="AT124" s="2" t="s">
        <v>2979</v>
      </c>
      <c r="AU124" s="2"/>
      <c r="AV124" s="2"/>
      <c r="AW124" s="2" t="s">
        <v>336</v>
      </c>
      <c r="AX124" s="2">
        <v>88614667</v>
      </c>
      <c r="AY124" s="2" t="s">
        <v>2980</v>
      </c>
      <c r="AZ124" s="2" t="s">
        <v>2981</v>
      </c>
      <c r="BA124" s="2" t="s">
        <v>2982</v>
      </c>
      <c r="BB124" s="2">
        <v>0</v>
      </c>
      <c r="BC124" s="3" t="str">
        <f>HYPERLINK("https://patentscout.innography.com/share/3cW5JLK6vhRSsdzRHFMfbw%3D%3D","KR102407595")</f>
        <v>KR102407595</v>
      </c>
      <c r="BD124" s="2" t="s">
        <v>2983</v>
      </c>
      <c r="BE124" s="2" t="s">
        <v>2984</v>
      </c>
      <c r="BF124" s="2" t="s">
        <v>2985</v>
      </c>
      <c r="BG124" s="2" t="str">
        <f>HYPERLINK("https://patentscout.innography.com/share/3cW5JLK6vhRSsdzRHFMfbw%3D%3D/download", "Download PDF")</f>
        <v>Download PDF</v>
      </c>
      <c r="BH124" s="2" t="s">
        <v>2986</v>
      </c>
      <c r="BI124" s="2"/>
      <c r="BJ124" s="2" t="s">
        <v>2987</v>
      </c>
      <c r="BK124" s="2" t="s">
        <v>2987</v>
      </c>
      <c r="BL124" s="2" t="s">
        <v>2987</v>
      </c>
      <c r="BM124" s="2"/>
      <c r="BN124" s="2"/>
      <c r="BO124" s="2"/>
      <c r="BP124" s="2"/>
      <c r="BQ124" s="2"/>
      <c r="BR124" s="2"/>
      <c r="BS124" s="2"/>
      <c r="BT124" s="2"/>
      <c r="BU124" s="2"/>
      <c r="BV124" s="2"/>
      <c r="BW124" s="2"/>
      <c r="BX124" s="2"/>
      <c r="BY124" s="2"/>
      <c r="BZ124" s="2"/>
      <c r="CA124" s="2"/>
      <c r="CB124" s="2"/>
      <c r="CC124" s="2" t="s">
        <v>243</v>
      </c>
      <c r="CD124" s="2" t="str">
        <f>HYPERLINK("https://patentscout.innography.com/share/3cW5JLK6vhRSsdzRHFMfbw%3D%3D", "Innography Link")</f>
        <v>Innography Link</v>
      </c>
      <c r="CE124" s="2"/>
      <c r="CF124" s="2"/>
      <c r="CG124" s="2"/>
      <c r="CH124" s="2"/>
      <c r="CI124" s="2"/>
      <c r="CK124" s="2" t="s">
        <v>2988</v>
      </c>
      <c r="CL124" s="2" t="s">
        <v>780</v>
      </c>
    </row>
    <row r="125" spans="1:94" ht="152" customHeight="1" x14ac:dyDescent="0.45">
      <c r="A125" s="2">
        <v>1</v>
      </c>
      <c r="B125" s="2">
        <v>6</v>
      </c>
      <c r="C125" s="2" t="s">
        <v>2989</v>
      </c>
      <c r="D125" s="2" t="s">
        <v>1514</v>
      </c>
      <c r="E125" s="2"/>
      <c r="F125" s="2" t="s">
        <v>2101</v>
      </c>
      <c r="G125" s="2" t="s">
        <v>2101</v>
      </c>
      <c r="H125" s="2" t="s">
        <v>2990</v>
      </c>
      <c r="I125" s="2" t="s">
        <v>2990</v>
      </c>
      <c r="J125" s="2" t="s">
        <v>2991</v>
      </c>
      <c r="K125" s="2" t="s">
        <v>2101</v>
      </c>
      <c r="L125" s="2" t="s">
        <v>2101</v>
      </c>
      <c r="M125" s="2" t="s">
        <v>2992</v>
      </c>
      <c r="N125" s="2" t="s">
        <v>2993</v>
      </c>
      <c r="O125" s="2"/>
      <c r="P125" s="2" t="s">
        <v>2994</v>
      </c>
      <c r="Q125" s="2"/>
      <c r="R125" s="2"/>
      <c r="S125" s="2" t="s">
        <v>2994</v>
      </c>
      <c r="T125" s="2">
        <v>87</v>
      </c>
      <c r="U125" s="2">
        <v>60</v>
      </c>
      <c r="V125" s="2" t="s">
        <v>2995</v>
      </c>
      <c r="W125" s="2"/>
      <c r="X125" s="2"/>
      <c r="Y125" s="2"/>
      <c r="Z125" s="2" t="s">
        <v>2996</v>
      </c>
      <c r="AA125" s="2" t="s">
        <v>2997</v>
      </c>
      <c r="AB125" s="2">
        <v>7</v>
      </c>
      <c r="AC125" s="2" t="s">
        <v>235</v>
      </c>
      <c r="AD125" s="2" t="s">
        <v>2994</v>
      </c>
      <c r="AE125" s="2">
        <v>341</v>
      </c>
      <c r="AF125" s="2" t="s">
        <v>141</v>
      </c>
      <c r="AG125" s="2"/>
      <c r="AH125" s="2"/>
      <c r="AI125" s="2"/>
      <c r="AJ125" s="2"/>
      <c r="AK125" s="2" t="s">
        <v>217</v>
      </c>
      <c r="AL125" s="2" t="s">
        <v>1510</v>
      </c>
      <c r="AM125" s="2" t="s">
        <v>1510</v>
      </c>
      <c r="AN125" s="2" t="s">
        <v>1511</v>
      </c>
      <c r="AO125" s="2" t="s">
        <v>2998</v>
      </c>
      <c r="AP125" s="2">
        <v>705348000</v>
      </c>
      <c r="AQ125" s="2">
        <v>705348000</v>
      </c>
      <c r="AR125" s="2" t="s">
        <v>514</v>
      </c>
      <c r="AS125" s="2">
        <v>82217156</v>
      </c>
      <c r="AT125" s="2" t="s">
        <v>2999</v>
      </c>
      <c r="AU125" s="2"/>
      <c r="AV125" s="2"/>
      <c r="AW125" s="2" t="s">
        <v>336</v>
      </c>
      <c r="AX125" s="2">
        <v>88821197</v>
      </c>
      <c r="AY125" s="2" t="s">
        <v>3000</v>
      </c>
      <c r="AZ125" s="2" t="s">
        <v>3001</v>
      </c>
      <c r="BA125" s="2" t="s">
        <v>3002</v>
      </c>
      <c r="BB125" s="2">
        <v>0</v>
      </c>
      <c r="BC125" s="3" t="str">
        <f>HYPERLINK("https://patentscout.innography.com/share/5roE9Bf9K8CbxtoBTq_rFw%3D%3D","KR102411058")</f>
        <v>KR102411058</v>
      </c>
      <c r="BD125" s="2" t="s">
        <v>3003</v>
      </c>
      <c r="BE125" s="2" t="s">
        <v>3004</v>
      </c>
      <c r="BF125" s="2" t="s">
        <v>3005</v>
      </c>
      <c r="BG125" s="2" t="str">
        <f>HYPERLINK("https://patentscout.innography.com/share/5roE9Bf9K8CbxtoBTq_rFw%3D%3D/download", "Download PDF")</f>
        <v>Download PDF</v>
      </c>
      <c r="BH125" s="2" t="s">
        <v>3006</v>
      </c>
      <c r="BI125" s="2"/>
      <c r="BJ125" s="2" t="s">
        <v>3007</v>
      </c>
      <c r="BK125" s="2" t="s">
        <v>3007</v>
      </c>
      <c r="BL125" s="2" t="s">
        <v>3007</v>
      </c>
      <c r="BM125" s="2"/>
      <c r="BN125" s="2"/>
      <c r="BO125" s="2"/>
      <c r="BP125" s="2"/>
      <c r="BQ125" s="2"/>
      <c r="BR125" s="2"/>
      <c r="BS125" s="2"/>
      <c r="BT125" s="2"/>
      <c r="BU125" s="2"/>
      <c r="BV125" s="2"/>
      <c r="BW125" s="2"/>
      <c r="BX125" s="2"/>
      <c r="BY125" s="2"/>
      <c r="BZ125" s="2"/>
      <c r="CA125" s="2"/>
      <c r="CB125" s="2"/>
      <c r="CC125" s="2" t="s">
        <v>243</v>
      </c>
      <c r="CD125" s="2" t="str">
        <f>HYPERLINK("https://patentscout.innography.com/share/5roE9Bf9K8CbxtoBTq_rFw%3D%3D", "Innography Link")</f>
        <v>Innography Link</v>
      </c>
      <c r="CE125" s="2"/>
      <c r="CF125" s="2"/>
      <c r="CG125" s="2"/>
      <c r="CH125" s="2"/>
      <c r="CI125" s="2"/>
      <c r="CK125" s="2" t="s">
        <v>3008</v>
      </c>
      <c r="CL125" s="2" t="s">
        <v>780</v>
      </c>
      <c r="CM125" s="2" t="s">
        <v>444</v>
      </c>
    </row>
    <row r="126" spans="1:94" ht="152" customHeight="1" x14ac:dyDescent="0.45">
      <c r="A126" s="2">
        <v>0</v>
      </c>
      <c r="B126" s="2">
        <v>2</v>
      </c>
      <c r="C126" s="2" t="s">
        <v>3009</v>
      </c>
      <c r="D126" s="2"/>
      <c r="E126" s="2"/>
      <c r="F126" s="2" t="s">
        <v>3010</v>
      </c>
      <c r="G126" s="2" t="s">
        <v>3010</v>
      </c>
      <c r="H126" s="2" t="s">
        <v>3011</v>
      </c>
      <c r="I126" s="2" t="s">
        <v>3011</v>
      </c>
      <c r="J126" s="2" t="s">
        <v>3012</v>
      </c>
      <c r="K126" s="2" t="s">
        <v>3010</v>
      </c>
      <c r="L126" s="2" t="s">
        <v>3010</v>
      </c>
      <c r="M126" s="2" t="s">
        <v>3013</v>
      </c>
      <c r="N126" s="2" t="s">
        <v>3014</v>
      </c>
      <c r="O126" s="2"/>
      <c r="P126" s="2" t="s">
        <v>3015</v>
      </c>
      <c r="Q126" s="2"/>
      <c r="R126" s="2"/>
      <c r="S126" s="2" t="s">
        <v>3015</v>
      </c>
      <c r="T126" s="2">
        <v>87</v>
      </c>
      <c r="U126" s="2">
        <v>2</v>
      </c>
      <c r="V126" s="2" t="s">
        <v>3016</v>
      </c>
      <c r="W126" s="2"/>
      <c r="X126" s="2"/>
      <c r="Y126" s="2"/>
      <c r="Z126" s="2" t="s">
        <v>3017</v>
      </c>
      <c r="AA126" s="2" t="s">
        <v>3018</v>
      </c>
      <c r="AB126" s="2">
        <v>3</v>
      </c>
      <c r="AC126" s="2" t="s">
        <v>235</v>
      </c>
      <c r="AD126" s="2" t="s">
        <v>3019</v>
      </c>
      <c r="AE126" s="2">
        <v>1</v>
      </c>
      <c r="AF126" s="2" t="s">
        <v>141</v>
      </c>
      <c r="AG126" s="2"/>
      <c r="AH126" s="2"/>
      <c r="AI126" s="2"/>
      <c r="AJ126" s="2"/>
      <c r="AK126" s="2" t="s">
        <v>217</v>
      </c>
      <c r="AL126" s="2" t="s">
        <v>3020</v>
      </c>
      <c r="AM126" s="2" t="s">
        <v>3020</v>
      </c>
      <c r="AN126" s="2" t="s">
        <v>3021</v>
      </c>
      <c r="AO126" s="2" t="s">
        <v>3022</v>
      </c>
      <c r="AP126" s="2">
        <v>713340000</v>
      </c>
      <c r="AQ126" s="2">
        <v>713340000</v>
      </c>
      <c r="AR126" s="2" t="s">
        <v>253</v>
      </c>
      <c r="AS126" s="2">
        <v>82270528</v>
      </c>
      <c r="AT126" s="2" t="s">
        <v>3023</v>
      </c>
      <c r="AU126" s="2"/>
      <c r="AV126" s="2"/>
      <c r="AW126" s="2" t="s">
        <v>336</v>
      </c>
      <c r="AX126" s="2">
        <v>88933331</v>
      </c>
      <c r="AY126" s="2" t="s">
        <v>3024</v>
      </c>
      <c r="AZ126" s="2" t="s">
        <v>3025</v>
      </c>
      <c r="BA126" s="2" t="s">
        <v>3026</v>
      </c>
      <c r="BB126" s="2">
        <v>0</v>
      </c>
      <c r="BC126" s="3" t="str">
        <f>HYPERLINK("https://patentscout.innography.com/share/EBWMcXzY1_jNVs73rGTsXw%3D%3D","KR102415228")</f>
        <v>KR102415228</v>
      </c>
      <c r="BD126" s="2" t="s">
        <v>3027</v>
      </c>
      <c r="BE126" s="2" t="s">
        <v>3028</v>
      </c>
      <c r="BF126" s="2" t="s">
        <v>3029</v>
      </c>
      <c r="BG126" s="2" t="str">
        <f>HYPERLINK("https://patentscout.innography.com/share/EBWMcXzY1_jNVs73rGTsXw%3D%3D/download", "Download PDF")</f>
        <v>Download PDF</v>
      </c>
      <c r="BH126" s="2" t="s">
        <v>3030</v>
      </c>
      <c r="BI126" s="2"/>
      <c r="BJ126" s="2" t="s">
        <v>3031</v>
      </c>
      <c r="BK126" s="2" t="s">
        <v>3031</v>
      </c>
      <c r="BL126" s="2" t="s">
        <v>3031</v>
      </c>
      <c r="BM126" s="2"/>
      <c r="BN126" s="2"/>
      <c r="BO126" s="2"/>
      <c r="BP126" s="2"/>
      <c r="BQ126" s="2"/>
      <c r="BR126" s="2"/>
      <c r="BS126" s="2"/>
      <c r="BT126" s="2"/>
      <c r="BU126" s="2"/>
      <c r="BV126" s="2"/>
      <c r="BW126" s="2"/>
      <c r="BX126" s="2"/>
      <c r="BY126" s="2"/>
      <c r="BZ126" s="2"/>
      <c r="CA126" s="2"/>
      <c r="CB126" s="2"/>
      <c r="CC126" s="2" t="s">
        <v>243</v>
      </c>
      <c r="CD126" s="2" t="str">
        <f>HYPERLINK("https://patentscout.innography.com/share/EBWMcXzY1_jNVs73rGTsXw%3D%3D", "Innography Link")</f>
        <v>Innography Link</v>
      </c>
      <c r="CE126" s="2"/>
      <c r="CF126" s="2"/>
      <c r="CG126" s="2"/>
      <c r="CH126" s="2"/>
      <c r="CI126" s="2"/>
      <c r="CK126" s="2" t="s">
        <v>3032</v>
      </c>
      <c r="CL126" s="2" t="s">
        <v>780</v>
      </c>
      <c r="CM126" s="2" t="s">
        <v>371</v>
      </c>
    </row>
    <row r="127" spans="1:94" ht="152" customHeight="1" x14ac:dyDescent="0.45">
      <c r="A127" s="2">
        <v>0</v>
      </c>
      <c r="B127" s="2">
        <v>3</v>
      </c>
      <c r="C127" s="2" t="s">
        <v>3033</v>
      </c>
      <c r="D127" s="2"/>
      <c r="E127" s="2"/>
      <c r="F127" s="2" t="s">
        <v>2458</v>
      </c>
      <c r="G127" s="2" t="s">
        <v>2458</v>
      </c>
      <c r="H127" s="2" t="s">
        <v>1269</v>
      </c>
      <c r="I127" s="2" t="s">
        <v>1269</v>
      </c>
      <c r="J127" s="2" t="s">
        <v>1270</v>
      </c>
      <c r="K127" s="2" t="s">
        <v>2458</v>
      </c>
      <c r="L127" s="2" t="s">
        <v>2458</v>
      </c>
      <c r="M127" s="2" t="s">
        <v>3034</v>
      </c>
      <c r="N127" s="2" t="s">
        <v>3035</v>
      </c>
      <c r="O127" s="2"/>
      <c r="P127" s="2" t="s">
        <v>2379</v>
      </c>
      <c r="Q127" s="2" t="s">
        <v>2379</v>
      </c>
      <c r="R127" s="2" t="s">
        <v>2380</v>
      </c>
      <c r="S127" s="2" t="s">
        <v>2379</v>
      </c>
      <c r="T127" s="2">
        <v>87</v>
      </c>
      <c r="U127" s="2">
        <v>5</v>
      </c>
      <c r="V127" s="2" t="s">
        <v>3036</v>
      </c>
      <c r="W127" s="2"/>
      <c r="X127" s="2"/>
      <c r="Y127" s="2"/>
      <c r="Z127" s="2" t="s">
        <v>3037</v>
      </c>
      <c r="AA127" s="2" t="s">
        <v>3038</v>
      </c>
      <c r="AB127" s="2">
        <v>9</v>
      </c>
      <c r="AC127" s="2" t="s">
        <v>235</v>
      </c>
      <c r="AD127" s="2" t="s">
        <v>2384</v>
      </c>
      <c r="AE127" s="2">
        <v>140</v>
      </c>
      <c r="AF127" s="2" t="s">
        <v>141</v>
      </c>
      <c r="AG127" s="2"/>
      <c r="AH127" s="2"/>
      <c r="AI127" s="2"/>
      <c r="AJ127" s="2"/>
      <c r="AK127" s="2" t="s">
        <v>217</v>
      </c>
      <c r="AL127" s="2" t="s">
        <v>298</v>
      </c>
      <c r="AM127" s="2" t="s">
        <v>298</v>
      </c>
      <c r="AN127" s="2" t="s">
        <v>359</v>
      </c>
      <c r="AO127" s="2" t="s">
        <v>2758</v>
      </c>
      <c r="AP127" s="2">
        <v>705348000</v>
      </c>
      <c r="AQ127" s="2">
        <v>705348000</v>
      </c>
      <c r="AR127" s="2" t="s">
        <v>253</v>
      </c>
      <c r="AS127" s="2">
        <v>82606044</v>
      </c>
      <c r="AT127" s="2" t="s">
        <v>3039</v>
      </c>
      <c r="AU127" s="2"/>
      <c r="AV127" s="2"/>
      <c r="AW127" s="2" t="s">
        <v>336</v>
      </c>
      <c r="AX127" s="2">
        <v>89269391</v>
      </c>
      <c r="AY127" s="2" t="s">
        <v>3040</v>
      </c>
      <c r="AZ127" s="2" t="s">
        <v>3041</v>
      </c>
      <c r="BA127" s="2" t="s">
        <v>1284</v>
      </c>
      <c r="BB127" s="2">
        <v>0</v>
      </c>
      <c r="BC127" s="3" t="str">
        <f>HYPERLINK("https://patentscout.innography.com/share/oR8Md9aZmspNnWGZ4ZW6Hw%3D%3D","KR102423902")</f>
        <v>KR102423902</v>
      </c>
      <c r="BD127" s="2" t="s">
        <v>3042</v>
      </c>
      <c r="BE127" s="2" t="s">
        <v>3043</v>
      </c>
      <c r="BF127" s="2" t="s">
        <v>3044</v>
      </c>
      <c r="BG127" s="2" t="str">
        <f>HYPERLINK("https://patentscout.innography.com/share/oR8Md9aZmspNnWGZ4ZW6Hw%3D%3D/download", "Download PDF")</f>
        <v>Download PDF</v>
      </c>
      <c r="BH127" s="2" t="s">
        <v>3045</v>
      </c>
      <c r="BI127" s="2"/>
      <c r="BJ127" s="2" t="s">
        <v>3046</v>
      </c>
      <c r="BK127" s="2" t="s">
        <v>3046</v>
      </c>
      <c r="BL127" s="2" t="s">
        <v>3046</v>
      </c>
      <c r="BM127" s="2"/>
      <c r="BN127" s="2"/>
      <c r="BO127" s="2"/>
      <c r="BP127" s="2"/>
      <c r="BQ127" s="2"/>
      <c r="BR127" s="2"/>
      <c r="BS127" s="2"/>
      <c r="BT127" s="2"/>
      <c r="BU127" s="2"/>
      <c r="BV127" s="2"/>
      <c r="BW127" s="2"/>
      <c r="BX127" s="2"/>
      <c r="BY127" s="2"/>
      <c r="BZ127" s="2"/>
      <c r="CA127" s="2"/>
      <c r="CB127" s="2"/>
      <c r="CC127" s="2" t="s">
        <v>243</v>
      </c>
      <c r="CD127" s="2" t="str">
        <f>HYPERLINK("https://patentscout.innography.com/share/oR8Md9aZmspNnWGZ4ZW6Hw%3D%3D", "Innography Link")</f>
        <v>Innography Link</v>
      </c>
      <c r="CE127" s="2"/>
      <c r="CF127" s="2"/>
      <c r="CG127" s="2"/>
      <c r="CH127" s="2"/>
      <c r="CI127" s="2"/>
      <c r="CK127" s="2" t="s">
        <v>3047</v>
      </c>
      <c r="CL127" s="2" t="s">
        <v>372</v>
      </c>
    </row>
    <row r="128" spans="1:94" ht="152" customHeight="1" x14ac:dyDescent="0.45">
      <c r="A128" s="2">
        <v>0</v>
      </c>
      <c r="B128" s="2">
        <v>6</v>
      </c>
      <c r="C128" s="2" t="s">
        <v>3048</v>
      </c>
      <c r="D128" s="2"/>
      <c r="E128" s="2"/>
      <c r="F128" s="2" t="s">
        <v>3049</v>
      </c>
      <c r="G128" s="2" t="s">
        <v>3049</v>
      </c>
      <c r="H128" s="2" t="s">
        <v>2233</v>
      </c>
      <c r="I128" s="2" t="s">
        <v>2233</v>
      </c>
      <c r="J128" s="2" t="s">
        <v>2512</v>
      </c>
      <c r="K128" s="2" t="s">
        <v>3049</v>
      </c>
      <c r="L128" s="2" t="s">
        <v>3049</v>
      </c>
      <c r="M128" s="2" t="s">
        <v>3050</v>
      </c>
      <c r="N128" s="2" t="s">
        <v>3051</v>
      </c>
      <c r="O128" s="2"/>
      <c r="P128" s="2" t="s">
        <v>3052</v>
      </c>
      <c r="Q128" s="2" t="s">
        <v>3053</v>
      </c>
      <c r="R128" s="2" t="s">
        <v>3054</v>
      </c>
      <c r="S128" s="2" t="s">
        <v>3052</v>
      </c>
      <c r="T128" s="2">
        <v>87</v>
      </c>
      <c r="U128" s="2">
        <v>4</v>
      </c>
      <c r="V128" s="2" t="s">
        <v>3055</v>
      </c>
      <c r="W128" s="2"/>
      <c r="X128" s="2"/>
      <c r="Y128" s="2"/>
      <c r="Z128" s="2" t="s">
        <v>3056</v>
      </c>
      <c r="AA128" s="2" t="s">
        <v>3057</v>
      </c>
      <c r="AB128" s="2">
        <v>4</v>
      </c>
      <c r="AC128" s="2" t="s">
        <v>235</v>
      </c>
      <c r="AD128" s="2" t="s">
        <v>3058</v>
      </c>
      <c r="AE128" s="2">
        <v>361</v>
      </c>
      <c r="AF128" s="2" t="s">
        <v>141</v>
      </c>
      <c r="AG128" s="2"/>
      <c r="AH128" s="2"/>
      <c r="AI128" s="2"/>
      <c r="AJ128" s="2"/>
      <c r="AK128" s="2" t="s">
        <v>217</v>
      </c>
      <c r="AL128" s="2" t="s">
        <v>298</v>
      </c>
      <c r="AM128" s="2" t="s">
        <v>298</v>
      </c>
      <c r="AN128" s="2" t="s">
        <v>359</v>
      </c>
      <c r="AO128" s="2" t="s">
        <v>3059</v>
      </c>
      <c r="AP128" s="2">
        <v>705348000</v>
      </c>
      <c r="AQ128" s="2">
        <v>705348000</v>
      </c>
      <c r="AR128" s="2" t="s">
        <v>253</v>
      </c>
      <c r="AS128" s="2">
        <v>83282275</v>
      </c>
      <c r="AT128" s="2" t="s">
        <v>3060</v>
      </c>
      <c r="AU128" s="2"/>
      <c r="AV128" s="2"/>
      <c r="AW128" s="2" t="s">
        <v>336</v>
      </c>
      <c r="AX128" s="2">
        <v>90788209</v>
      </c>
      <c r="AY128" s="2" t="s">
        <v>3061</v>
      </c>
      <c r="AZ128" s="2" t="s">
        <v>3062</v>
      </c>
      <c r="BA128" s="2" t="s">
        <v>2527</v>
      </c>
      <c r="BB128" s="2">
        <v>0</v>
      </c>
      <c r="BC128" s="3" t="str">
        <f>HYPERLINK("https://patentscout.innography.com/share/-VuZJDh8_NrRJV0uKzEZOg%3D%3D","KR102439122")</f>
        <v>KR102439122</v>
      </c>
      <c r="BD128" s="2" t="s">
        <v>3063</v>
      </c>
      <c r="BE128" s="2" t="s">
        <v>3064</v>
      </c>
      <c r="BF128" s="2" t="s">
        <v>3065</v>
      </c>
      <c r="BG128" s="2" t="str">
        <f>HYPERLINK("https://patentscout.innography.com/share/-VuZJDh8_NrRJV0uKzEZOg%3D%3D/download", "Download PDF")</f>
        <v>Download PDF</v>
      </c>
      <c r="BH128" s="2" t="s">
        <v>3066</v>
      </c>
      <c r="BI128" s="2"/>
      <c r="BJ128" s="2" t="s">
        <v>3067</v>
      </c>
      <c r="BK128" s="2" t="s">
        <v>3067</v>
      </c>
      <c r="BL128" s="2" t="s">
        <v>3067</v>
      </c>
      <c r="BM128" s="2"/>
      <c r="BN128" s="2"/>
      <c r="BO128" s="2"/>
      <c r="BP128" s="2"/>
      <c r="BQ128" s="2"/>
      <c r="BR128" s="2"/>
      <c r="BS128" s="2"/>
      <c r="BT128" s="2"/>
      <c r="BU128" s="2"/>
      <c r="BV128" s="2"/>
      <c r="BW128" s="2"/>
      <c r="BX128" s="2"/>
      <c r="BY128" s="2"/>
      <c r="BZ128" s="2"/>
      <c r="CA128" s="2"/>
      <c r="CB128" s="2"/>
      <c r="CC128" s="2" t="s">
        <v>243</v>
      </c>
      <c r="CD128" s="2" t="str">
        <f>HYPERLINK("https://patentscout.innography.com/share/-VuZJDh8_NrRJV0uKzEZOg%3D%3D", "Innography Link")</f>
        <v>Innography Link</v>
      </c>
      <c r="CE128" s="2"/>
      <c r="CF128" s="2"/>
      <c r="CG128" s="2"/>
      <c r="CH128" s="2"/>
      <c r="CI128" s="2"/>
      <c r="CK128" s="2" t="s">
        <v>3068</v>
      </c>
      <c r="CL128" s="2" t="s">
        <v>444</v>
      </c>
    </row>
    <row r="129" spans="1:93" ht="152" customHeight="1" x14ac:dyDescent="0.45">
      <c r="A129" s="2">
        <v>0</v>
      </c>
      <c r="B129" s="2">
        <v>5</v>
      </c>
      <c r="C129" s="2" t="s">
        <v>3069</v>
      </c>
      <c r="D129" s="2"/>
      <c r="E129" s="2"/>
      <c r="F129" s="2" t="s">
        <v>3070</v>
      </c>
      <c r="G129" s="2" t="s">
        <v>3070</v>
      </c>
      <c r="H129" s="2" t="s">
        <v>3071</v>
      </c>
      <c r="I129" s="2" t="s">
        <v>3071</v>
      </c>
      <c r="J129" s="2" t="s">
        <v>3072</v>
      </c>
      <c r="K129" s="2" t="s">
        <v>3070</v>
      </c>
      <c r="L129" s="2" t="s">
        <v>3070</v>
      </c>
      <c r="M129" s="2" t="s">
        <v>3073</v>
      </c>
      <c r="N129" s="2" t="s">
        <v>3074</v>
      </c>
      <c r="O129" s="2"/>
      <c r="P129" s="2"/>
      <c r="Q129" s="2"/>
      <c r="R129" s="2"/>
      <c r="S129" s="2"/>
      <c r="T129" s="2">
        <v>87</v>
      </c>
      <c r="U129" s="2">
        <v>6</v>
      </c>
      <c r="V129" s="2" t="s">
        <v>3075</v>
      </c>
      <c r="W129" s="2"/>
      <c r="X129" s="2"/>
      <c r="Y129" s="2"/>
      <c r="Z129" s="2" t="s">
        <v>3076</v>
      </c>
      <c r="AA129" s="2" t="s">
        <v>3077</v>
      </c>
      <c r="AB129" s="2">
        <v>7</v>
      </c>
      <c r="AC129" s="2" t="s">
        <v>235</v>
      </c>
      <c r="AD129" s="2"/>
      <c r="AE129" s="2">
        <v>728</v>
      </c>
      <c r="AF129" s="2" t="s">
        <v>141</v>
      </c>
      <c r="AG129" s="2"/>
      <c r="AH129" s="2"/>
      <c r="AI129" s="2"/>
      <c r="AJ129" s="2"/>
      <c r="AK129" s="2" t="s">
        <v>217</v>
      </c>
      <c r="AL129" s="2" t="s">
        <v>3078</v>
      </c>
      <c r="AM129" s="2" t="s">
        <v>3078</v>
      </c>
      <c r="AN129" s="2" t="s">
        <v>3079</v>
      </c>
      <c r="AO129" s="2" t="s">
        <v>3080</v>
      </c>
      <c r="AP129" s="2">
        <v>358296000</v>
      </c>
      <c r="AQ129" s="2">
        <v>358296000</v>
      </c>
      <c r="AR129" s="2" t="s">
        <v>253</v>
      </c>
      <c r="AS129" s="2">
        <v>84391740</v>
      </c>
      <c r="AT129" s="2" t="s">
        <v>3081</v>
      </c>
      <c r="AU129" s="2"/>
      <c r="AV129" s="2"/>
      <c r="AW129" s="2" t="s">
        <v>336</v>
      </c>
      <c r="AX129" s="2">
        <v>92917629</v>
      </c>
      <c r="AY129" s="2" t="s">
        <v>3082</v>
      </c>
      <c r="AZ129" s="2" t="s">
        <v>3083</v>
      </c>
      <c r="BA129" s="2" t="s">
        <v>3084</v>
      </c>
      <c r="BB129" s="2">
        <v>0</v>
      </c>
      <c r="BC129" s="3" t="str">
        <f>HYPERLINK("https://patentscout.innography.com/share/tDrxGrvgs6pM5Mdg_2xxXw%3D%3D","KR102476830")</f>
        <v>KR102476830</v>
      </c>
      <c r="BD129" s="2" t="s">
        <v>3085</v>
      </c>
      <c r="BE129" s="2" t="s">
        <v>3086</v>
      </c>
      <c r="BF129" s="2" t="s">
        <v>3087</v>
      </c>
      <c r="BG129" s="2" t="str">
        <f>HYPERLINK("https://patentscout.innography.com/share/tDrxGrvgs6pM5Mdg_2xxXw%3D%3D/download", "Download PDF")</f>
        <v>Download PDF</v>
      </c>
      <c r="BH129" s="2" t="s">
        <v>3088</v>
      </c>
      <c r="BI129" s="2"/>
      <c r="BJ129" s="2" t="s">
        <v>3089</v>
      </c>
      <c r="BK129" s="2" t="s">
        <v>3089</v>
      </c>
      <c r="BL129" s="2" t="s">
        <v>3089</v>
      </c>
      <c r="BM129" s="2"/>
      <c r="BN129" s="2"/>
      <c r="BO129" s="2"/>
      <c r="BP129" s="2"/>
      <c r="BQ129" s="2"/>
      <c r="BR129" s="2"/>
      <c r="BS129" s="2"/>
      <c r="BT129" s="2"/>
      <c r="BU129" s="2"/>
      <c r="BV129" s="2"/>
      <c r="BW129" s="2"/>
      <c r="BX129" s="2"/>
      <c r="BY129" s="2"/>
      <c r="BZ129" s="2"/>
      <c r="CA129" s="2"/>
      <c r="CB129" s="2"/>
      <c r="CC129" s="2" t="s">
        <v>243</v>
      </c>
      <c r="CD129" s="2" t="str">
        <f>HYPERLINK("https://patentscout.innography.com/share/tDrxGrvgs6pM5Mdg_2xxXw%3D%3D", "Innography Link")</f>
        <v>Innography Link</v>
      </c>
      <c r="CE129" s="2"/>
      <c r="CF129" s="2"/>
      <c r="CG129" s="2"/>
      <c r="CH129" s="2"/>
      <c r="CI129" s="2"/>
      <c r="CK129" s="2" t="s">
        <v>3090</v>
      </c>
      <c r="CL129" s="2" t="s">
        <v>780</v>
      </c>
      <c r="CM129" s="2" t="s">
        <v>444</v>
      </c>
      <c r="CN129" s="2" t="s">
        <v>601</v>
      </c>
      <c r="CO129" s="2" t="s">
        <v>854</v>
      </c>
    </row>
    <row r="130" spans="1:93" ht="152" customHeight="1" x14ac:dyDescent="0.45">
      <c r="A130" s="2">
        <v>0</v>
      </c>
      <c r="B130" s="2">
        <v>6</v>
      </c>
      <c r="C130" s="2" t="s">
        <v>3091</v>
      </c>
      <c r="D130" s="2"/>
      <c r="E130" s="2"/>
      <c r="F130" s="2" t="s">
        <v>3092</v>
      </c>
      <c r="G130" s="2" t="s">
        <v>3092</v>
      </c>
      <c r="H130" s="2" t="s">
        <v>3093</v>
      </c>
      <c r="I130" s="2" t="s">
        <v>3093</v>
      </c>
      <c r="J130" s="2" t="s">
        <v>3094</v>
      </c>
      <c r="K130" s="2" t="s">
        <v>3092</v>
      </c>
      <c r="L130" s="2" t="s">
        <v>3092</v>
      </c>
      <c r="M130" s="2" t="s">
        <v>3095</v>
      </c>
      <c r="N130" s="2" t="s">
        <v>3096</v>
      </c>
      <c r="O130" s="2"/>
      <c r="P130" s="2" t="s">
        <v>3097</v>
      </c>
      <c r="Q130" s="2" t="s">
        <v>3098</v>
      </c>
      <c r="R130" s="2" t="s">
        <v>3098</v>
      </c>
      <c r="S130" s="2" t="s">
        <v>3097</v>
      </c>
      <c r="T130" s="2">
        <v>87</v>
      </c>
      <c r="U130" s="2">
        <v>5</v>
      </c>
      <c r="V130" s="2" t="s">
        <v>3099</v>
      </c>
      <c r="W130" s="2"/>
      <c r="X130" s="2"/>
      <c r="Y130" s="2"/>
      <c r="Z130" s="2" t="s">
        <v>3100</v>
      </c>
      <c r="AA130" s="2" t="s">
        <v>3101</v>
      </c>
      <c r="AB130" s="2">
        <v>6</v>
      </c>
      <c r="AC130" s="2" t="s">
        <v>235</v>
      </c>
      <c r="AD130" s="2" t="s">
        <v>3102</v>
      </c>
      <c r="AE130" s="2">
        <v>310</v>
      </c>
      <c r="AF130" s="2" t="s">
        <v>141</v>
      </c>
      <c r="AG130" s="2"/>
      <c r="AH130" s="2"/>
      <c r="AI130" s="2"/>
      <c r="AJ130" s="2"/>
      <c r="AK130" s="2" t="s">
        <v>217</v>
      </c>
      <c r="AL130" s="2" t="s">
        <v>3103</v>
      </c>
      <c r="AM130" s="2" t="s">
        <v>3103</v>
      </c>
      <c r="AN130" s="2" t="s">
        <v>3104</v>
      </c>
      <c r="AO130" s="2" t="s">
        <v>3105</v>
      </c>
      <c r="AP130" s="2">
        <v>705348000</v>
      </c>
      <c r="AQ130" s="2">
        <v>705348000</v>
      </c>
      <c r="AR130" s="2" t="s">
        <v>253</v>
      </c>
      <c r="AS130" s="2">
        <v>81210129</v>
      </c>
      <c r="AT130" s="2" t="s">
        <v>3106</v>
      </c>
      <c r="AU130" s="2"/>
      <c r="AV130" s="2"/>
      <c r="AW130" s="2" t="s">
        <v>336</v>
      </c>
      <c r="AX130" s="2">
        <v>87466140</v>
      </c>
      <c r="AY130" s="2" t="s">
        <v>3107</v>
      </c>
      <c r="AZ130" s="2" t="s">
        <v>3108</v>
      </c>
      <c r="BA130" s="2" t="s">
        <v>3109</v>
      </c>
      <c r="BB130" s="2">
        <v>0</v>
      </c>
      <c r="BC130" s="3" t="str">
        <f>HYPERLINK("https://patentscout.innography.com/share/KbJKS3UgA8dx5iEcKgcISg%3D%3D","KR102383284")</f>
        <v>KR102383284</v>
      </c>
      <c r="BD130" s="2" t="s">
        <v>3110</v>
      </c>
      <c r="BE130" s="2" t="s">
        <v>3111</v>
      </c>
      <c r="BF130" s="2" t="s">
        <v>3112</v>
      </c>
      <c r="BG130" s="2" t="str">
        <f>HYPERLINK("https://patentscout.innography.com/share/KbJKS3UgA8dx5iEcKgcISg%3D%3D/download", "Download PDF")</f>
        <v>Download PDF</v>
      </c>
      <c r="BH130" s="2" t="s">
        <v>3113</v>
      </c>
      <c r="BI130" s="2"/>
      <c r="BJ130" s="2" t="s">
        <v>3114</v>
      </c>
      <c r="BK130" s="2" t="s">
        <v>3114</v>
      </c>
      <c r="BL130" s="2" t="s">
        <v>3114</v>
      </c>
      <c r="BM130" s="2"/>
      <c r="BN130" s="2"/>
      <c r="BO130" s="2"/>
      <c r="BP130" s="2"/>
      <c r="BQ130" s="2"/>
      <c r="BR130" s="2"/>
      <c r="BS130" s="2"/>
      <c r="BT130" s="2"/>
      <c r="BU130" s="2"/>
      <c r="BV130" s="2"/>
      <c r="BW130" s="2"/>
      <c r="BX130" s="2"/>
      <c r="BY130" s="2"/>
      <c r="BZ130" s="2"/>
      <c r="CA130" s="2"/>
      <c r="CB130" s="2"/>
      <c r="CC130" s="2" t="s">
        <v>243</v>
      </c>
      <c r="CD130" s="2" t="str">
        <f>HYPERLINK("https://patentscout.innography.com/share/KbJKS3UgA8dx5iEcKgcISg%3D%3D", "Innography Link")</f>
        <v>Innography Link</v>
      </c>
      <c r="CE130" s="2"/>
      <c r="CF130" s="2"/>
      <c r="CG130" s="2"/>
      <c r="CH130" s="2"/>
      <c r="CI130" s="2"/>
      <c r="CK130" s="2" t="s">
        <v>3115</v>
      </c>
      <c r="CL130" s="2" t="s">
        <v>497</v>
      </c>
      <c r="CM130" s="2" t="s">
        <v>601</v>
      </c>
    </row>
    <row r="131" spans="1:93" ht="152" customHeight="1" x14ac:dyDescent="0.45">
      <c r="A131" s="2">
        <v>0</v>
      </c>
      <c r="B131" s="2">
        <v>1</v>
      </c>
      <c r="C131" s="2" t="s">
        <v>3116</v>
      </c>
      <c r="D131" s="2"/>
      <c r="E131" s="2"/>
      <c r="F131" s="2" t="s">
        <v>551</v>
      </c>
      <c r="G131" s="2" t="s">
        <v>551</v>
      </c>
      <c r="H131" s="2" t="s">
        <v>1222</v>
      </c>
      <c r="I131" s="2" t="s">
        <v>1222</v>
      </c>
      <c r="J131" s="2" t="s">
        <v>1294</v>
      </c>
      <c r="K131" s="2" t="s">
        <v>551</v>
      </c>
      <c r="L131" s="2" t="s">
        <v>551</v>
      </c>
      <c r="M131" s="2" t="s">
        <v>2181</v>
      </c>
      <c r="N131" s="2" t="s">
        <v>3117</v>
      </c>
      <c r="O131" s="2"/>
      <c r="P131" s="2" t="s">
        <v>2183</v>
      </c>
      <c r="Q131" s="2"/>
      <c r="R131" s="2"/>
      <c r="S131" s="2" t="s">
        <v>2183</v>
      </c>
      <c r="T131" s="2">
        <v>87</v>
      </c>
      <c r="U131" s="2">
        <v>3</v>
      </c>
      <c r="V131" s="2" t="s">
        <v>3118</v>
      </c>
      <c r="W131" s="2"/>
      <c r="X131" s="2"/>
      <c r="Y131" s="2"/>
      <c r="Z131" s="2" t="s">
        <v>3119</v>
      </c>
      <c r="AA131" s="2" t="s">
        <v>3120</v>
      </c>
      <c r="AB131" s="2">
        <v>6</v>
      </c>
      <c r="AC131" s="2" t="s">
        <v>235</v>
      </c>
      <c r="AD131" s="2" t="s">
        <v>2183</v>
      </c>
      <c r="AE131" s="2">
        <v>290</v>
      </c>
      <c r="AF131" s="2" t="s">
        <v>141</v>
      </c>
      <c r="AG131" s="2"/>
      <c r="AH131" s="2"/>
      <c r="AI131" s="2"/>
      <c r="AJ131" s="2"/>
      <c r="AK131" s="2" t="s">
        <v>217</v>
      </c>
      <c r="AL131" s="2" t="s">
        <v>298</v>
      </c>
      <c r="AM131" s="2" t="s">
        <v>298</v>
      </c>
      <c r="AN131" s="2" t="s">
        <v>359</v>
      </c>
      <c r="AO131" s="2" t="s">
        <v>3121</v>
      </c>
      <c r="AP131" s="2">
        <v>705348000</v>
      </c>
      <c r="AQ131" s="2">
        <v>705348000</v>
      </c>
      <c r="AR131" s="2" t="s">
        <v>253</v>
      </c>
      <c r="AS131" s="2">
        <v>83597505</v>
      </c>
      <c r="AT131" s="2" t="s">
        <v>3122</v>
      </c>
      <c r="AU131" s="2"/>
      <c r="AV131" s="2"/>
      <c r="AW131" s="2" t="s">
        <v>336</v>
      </c>
      <c r="AX131" s="2">
        <v>91637081</v>
      </c>
      <c r="AY131" s="2" t="s">
        <v>3123</v>
      </c>
      <c r="AZ131" s="2" t="s">
        <v>3124</v>
      </c>
      <c r="BA131" s="2" t="s">
        <v>1309</v>
      </c>
      <c r="BB131" s="2">
        <v>0</v>
      </c>
      <c r="BC131" s="3" t="str">
        <f>HYPERLINK("https://patentscout.innography.com/share/J4wfhebiAhvWBOEf3FR3Gg%3D%3D","KR102451246")</f>
        <v>KR102451246</v>
      </c>
      <c r="BD131" s="2" t="s">
        <v>3125</v>
      </c>
      <c r="BE131" s="2" t="s">
        <v>3126</v>
      </c>
      <c r="BF131" s="2" t="s">
        <v>3127</v>
      </c>
      <c r="BG131" s="2" t="str">
        <f>HYPERLINK("https://patentscout.innography.com/share/J4wfhebiAhvWBOEf3FR3Gg%3D%3D/download", "Download PDF")</f>
        <v>Download PDF</v>
      </c>
      <c r="BH131" s="2" t="s">
        <v>3128</v>
      </c>
      <c r="BI131" s="2"/>
      <c r="BJ131" s="2" t="s">
        <v>3129</v>
      </c>
      <c r="BK131" s="2" t="s">
        <v>3129</v>
      </c>
      <c r="BL131" s="2" t="s">
        <v>3129</v>
      </c>
      <c r="BM131" s="2"/>
      <c r="BN131" s="2"/>
      <c r="BO131" s="2"/>
      <c r="BP131" s="2"/>
      <c r="BQ131" s="2"/>
      <c r="BR131" s="2"/>
      <c r="BS131" s="2"/>
      <c r="BT131" s="2"/>
      <c r="BU131" s="2"/>
      <c r="BV131" s="2"/>
      <c r="BW131" s="2"/>
      <c r="BX131" s="2"/>
      <c r="BY131" s="2"/>
      <c r="BZ131" s="2"/>
      <c r="CA131" s="2"/>
      <c r="CB131" s="2"/>
      <c r="CC131" s="2" t="s">
        <v>243</v>
      </c>
      <c r="CD131" s="2" t="str">
        <f>HYPERLINK("https://patentscout.innography.com/share/J4wfhebiAhvWBOEf3FR3Gg%3D%3D", "Innography Link")</f>
        <v>Innography Link</v>
      </c>
      <c r="CE131" s="2"/>
      <c r="CF131" s="2"/>
      <c r="CG131" s="2"/>
      <c r="CH131" s="2"/>
      <c r="CI131" s="2"/>
      <c r="CK131" s="2" t="s">
        <v>3130</v>
      </c>
    </row>
    <row r="132" spans="1:93" ht="152" customHeight="1" x14ac:dyDescent="0.45">
      <c r="A132" s="2">
        <v>0</v>
      </c>
      <c r="B132" s="2">
        <v>5</v>
      </c>
      <c r="C132" s="2" t="s">
        <v>3131</v>
      </c>
      <c r="D132" s="2"/>
      <c r="E132" s="2"/>
      <c r="F132" s="2" t="s">
        <v>3132</v>
      </c>
      <c r="G132" s="2" t="s">
        <v>3132</v>
      </c>
      <c r="H132" s="2" t="s">
        <v>3133</v>
      </c>
      <c r="I132" s="2" t="s">
        <v>3133</v>
      </c>
      <c r="J132" s="2" t="s">
        <v>3134</v>
      </c>
      <c r="K132" s="2" t="s">
        <v>3132</v>
      </c>
      <c r="L132" s="2" t="s">
        <v>3132</v>
      </c>
      <c r="M132" s="2" t="s">
        <v>3135</v>
      </c>
      <c r="N132" s="2" t="s">
        <v>3136</v>
      </c>
      <c r="O132" s="2"/>
      <c r="P132" s="2" t="s">
        <v>3137</v>
      </c>
      <c r="Q132" s="2"/>
      <c r="R132" s="2"/>
      <c r="S132" s="2" t="s">
        <v>3137</v>
      </c>
      <c r="T132" s="2">
        <v>87</v>
      </c>
      <c r="U132" s="2">
        <v>7</v>
      </c>
      <c r="V132" s="2" t="s">
        <v>3138</v>
      </c>
      <c r="W132" s="2"/>
      <c r="X132" s="2"/>
      <c r="Y132" s="2"/>
      <c r="Z132" s="2" t="s">
        <v>3139</v>
      </c>
      <c r="AA132" s="2" t="s">
        <v>3140</v>
      </c>
      <c r="AB132" s="2">
        <v>10</v>
      </c>
      <c r="AC132" s="2" t="s">
        <v>235</v>
      </c>
      <c r="AD132" s="2" t="s">
        <v>3137</v>
      </c>
      <c r="AE132" s="2">
        <v>224</v>
      </c>
      <c r="AF132" s="2" t="s">
        <v>141</v>
      </c>
      <c r="AG132" s="2"/>
      <c r="AH132" s="2"/>
      <c r="AI132" s="2"/>
      <c r="AJ132" s="2"/>
      <c r="AK132" s="2" t="s">
        <v>217</v>
      </c>
      <c r="AL132" s="2" t="s">
        <v>3141</v>
      </c>
      <c r="AM132" s="2" t="s">
        <v>3141</v>
      </c>
      <c r="AN132" s="2" t="s">
        <v>3142</v>
      </c>
      <c r="AO132" s="2" t="s">
        <v>3143</v>
      </c>
      <c r="AP132" s="2">
        <v>705348000</v>
      </c>
      <c r="AQ132" s="2">
        <v>705348000</v>
      </c>
      <c r="AR132" s="2" t="s">
        <v>253</v>
      </c>
      <c r="AS132" s="2">
        <v>81583545</v>
      </c>
      <c r="AT132" s="2" t="s">
        <v>3144</v>
      </c>
      <c r="AU132" s="2"/>
      <c r="AV132" s="2"/>
      <c r="AW132" s="2" t="s">
        <v>336</v>
      </c>
      <c r="AX132" s="2">
        <v>87976034</v>
      </c>
      <c r="AY132" s="2" t="s">
        <v>3145</v>
      </c>
      <c r="AZ132" s="2" t="s">
        <v>3146</v>
      </c>
      <c r="BA132" s="2" t="s">
        <v>3147</v>
      </c>
      <c r="BB132" s="2">
        <v>0</v>
      </c>
      <c r="BC132" s="3" t="str">
        <f>HYPERLINK("https://patentscout.innography.com/share/TlIz4CxFKYAJ7g6Wk5kr8w%3D%3D","KR102398366")</f>
        <v>KR102398366</v>
      </c>
      <c r="BD132" s="2" t="s">
        <v>3148</v>
      </c>
      <c r="BE132" s="2" t="s">
        <v>3149</v>
      </c>
      <c r="BF132" s="2" t="s">
        <v>3150</v>
      </c>
      <c r="BG132" s="2" t="str">
        <f>HYPERLINK("https://patentscout.innography.com/share/TlIz4CxFKYAJ7g6Wk5kr8w%3D%3D/download", "Download PDF")</f>
        <v>Download PDF</v>
      </c>
      <c r="BH132" s="2" t="s">
        <v>3151</v>
      </c>
      <c r="BI132" s="2"/>
      <c r="BJ132" s="2" t="s">
        <v>3152</v>
      </c>
      <c r="BK132" s="2" t="s">
        <v>3152</v>
      </c>
      <c r="BL132" s="2" t="s">
        <v>3152</v>
      </c>
      <c r="BM132" s="2"/>
      <c r="BN132" s="2"/>
      <c r="BO132" s="2"/>
      <c r="BP132" s="2"/>
      <c r="BQ132" s="2"/>
      <c r="BR132" s="2"/>
      <c r="BS132" s="2"/>
      <c r="BT132" s="2"/>
      <c r="BU132" s="2"/>
      <c r="BV132" s="2"/>
      <c r="BW132" s="2"/>
      <c r="BX132" s="2"/>
      <c r="BY132" s="2"/>
      <c r="BZ132" s="2"/>
      <c r="CA132" s="2"/>
      <c r="CB132" s="2"/>
      <c r="CC132" s="2" t="s">
        <v>243</v>
      </c>
      <c r="CD132" s="2" t="str">
        <f>HYPERLINK("https://patentscout.innography.com/share/TlIz4CxFKYAJ7g6Wk5kr8w%3D%3D", "Innography Link")</f>
        <v>Innography Link</v>
      </c>
      <c r="CE132" s="2"/>
      <c r="CF132" s="2"/>
      <c r="CG132" s="2"/>
      <c r="CH132" s="2"/>
      <c r="CI132" s="2"/>
      <c r="CK132" s="2" t="s">
        <v>3153</v>
      </c>
    </row>
    <row r="133" spans="1:93" ht="152" customHeight="1" x14ac:dyDescent="0.45">
      <c r="A133" s="2">
        <v>0</v>
      </c>
      <c r="B133" s="2">
        <v>4</v>
      </c>
      <c r="C133" s="2" t="s">
        <v>3154</v>
      </c>
      <c r="D133" s="2"/>
      <c r="E133" s="2"/>
      <c r="F133" s="2" t="s">
        <v>1002</v>
      </c>
      <c r="G133" s="2" t="s">
        <v>1002</v>
      </c>
      <c r="H133" s="2" t="s">
        <v>3155</v>
      </c>
      <c r="I133" s="2" t="s">
        <v>3155</v>
      </c>
      <c r="J133" s="2" t="s">
        <v>3156</v>
      </c>
      <c r="K133" s="2" t="s">
        <v>1002</v>
      </c>
      <c r="L133" s="2" t="s">
        <v>1002</v>
      </c>
      <c r="M133" s="2" t="s">
        <v>3157</v>
      </c>
      <c r="N133" s="2" t="s">
        <v>3158</v>
      </c>
      <c r="O133" s="2"/>
      <c r="P133" s="2" t="s">
        <v>3159</v>
      </c>
      <c r="Q133" s="2" t="s">
        <v>3159</v>
      </c>
      <c r="R133" s="2" t="s">
        <v>3160</v>
      </c>
      <c r="S133" s="2" t="s">
        <v>3159</v>
      </c>
      <c r="T133" s="2">
        <v>87</v>
      </c>
      <c r="U133" s="2">
        <v>4</v>
      </c>
      <c r="V133" s="2" t="s">
        <v>3161</v>
      </c>
      <c r="W133" s="2"/>
      <c r="X133" s="2"/>
      <c r="Y133" s="2"/>
      <c r="Z133" s="2" t="s">
        <v>3162</v>
      </c>
      <c r="AA133" s="2" t="s">
        <v>3163</v>
      </c>
      <c r="AB133" s="2">
        <v>5</v>
      </c>
      <c r="AC133" s="2" t="s">
        <v>235</v>
      </c>
      <c r="AD133" s="2" t="s">
        <v>3164</v>
      </c>
      <c r="AE133" s="2">
        <v>583</v>
      </c>
      <c r="AF133" s="2" t="s">
        <v>141</v>
      </c>
      <c r="AG133" s="2"/>
      <c r="AH133" s="2"/>
      <c r="AI133" s="2"/>
      <c r="AJ133" s="2"/>
      <c r="AK133" s="2" t="s">
        <v>217</v>
      </c>
      <c r="AL133" s="2" t="s">
        <v>3165</v>
      </c>
      <c r="AM133" s="2" t="s">
        <v>3165</v>
      </c>
      <c r="AN133" s="2" t="s">
        <v>3166</v>
      </c>
      <c r="AO133" s="2" t="s">
        <v>3167</v>
      </c>
      <c r="AP133" s="2" t="s">
        <v>3168</v>
      </c>
      <c r="AQ133" s="2" t="s">
        <v>3168</v>
      </c>
      <c r="AR133" s="2" t="s">
        <v>253</v>
      </c>
      <c r="AS133" s="2">
        <v>81984248</v>
      </c>
      <c r="AT133" s="2" t="s">
        <v>3169</v>
      </c>
      <c r="AU133" s="2"/>
      <c r="AV133" s="2"/>
      <c r="AW133" s="2" t="s">
        <v>1528</v>
      </c>
      <c r="AX133" s="2">
        <v>88614693</v>
      </c>
      <c r="AY133" s="2" t="s">
        <v>3170</v>
      </c>
      <c r="AZ133" s="2" t="s">
        <v>3171</v>
      </c>
      <c r="BA133" s="2" t="s">
        <v>3172</v>
      </c>
      <c r="BB133" s="2">
        <v>0</v>
      </c>
      <c r="BC133" s="3" t="str">
        <f>HYPERLINK("https://patentscout.innography.com/share/beBOX8RiQDxYYfvMptoKvg%3D%3D","KR102407750")</f>
        <v>KR102407750</v>
      </c>
      <c r="BD133" s="2" t="s">
        <v>3173</v>
      </c>
      <c r="BE133" s="2" t="s">
        <v>3174</v>
      </c>
      <c r="BF133" s="2" t="s">
        <v>3175</v>
      </c>
      <c r="BG133" s="2" t="str">
        <f>HYPERLINK("https://patentscout.innography.com/share/beBOX8RiQDxYYfvMptoKvg%3D%3D/download", "Download PDF")</f>
        <v>Download PDF</v>
      </c>
      <c r="BH133" s="2" t="s">
        <v>3176</v>
      </c>
      <c r="BI133" s="2"/>
      <c r="BJ133" s="2" t="s">
        <v>3177</v>
      </c>
      <c r="BK133" s="2" t="s">
        <v>3177</v>
      </c>
      <c r="BL133" s="2" t="s">
        <v>3177</v>
      </c>
      <c r="BM133" s="2"/>
      <c r="BN133" s="2"/>
      <c r="BO133" s="2"/>
      <c r="BP133" s="2"/>
      <c r="BQ133" s="2"/>
      <c r="BR133" s="2"/>
      <c r="BS133" s="2"/>
      <c r="BT133" s="2"/>
      <c r="BU133" s="2"/>
      <c r="BV133" s="2"/>
      <c r="BW133" s="2"/>
      <c r="BX133" s="2"/>
      <c r="BY133" s="2"/>
      <c r="BZ133" s="2"/>
      <c r="CA133" s="2"/>
      <c r="CB133" s="2"/>
      <c r="CC133" s="2" t="s">
        <v>243</v>
      </c>
      <c r="CD133" s="2" t="str">
        <f>HYPERLINK("https://patentscout.innography.com/share/beBOX8RiQDxYYfvMptoKvg%3D%3D", "Innography Link")</f>
        <v>Innography Link</v>
      </c>
      <c r="CE133" s="2"/>
      <c r="CF133" s="2"/>
      <c r="CG133" s="2"/>
      <c r="CH133" s="2"/>
      <c r="CI133" s="2"/>
      <c r="CK133" s="2" t="s">
        <v>3178</v>
      </c>
      <c r="CL133" s="2" t="s">
        <v>444</v>
      </c>
    </row>
    <row r="134" spans="1:93" ht="152" customHeight="1" x14ac:dyDescent="0.45">
      <c r="A134" s="2">
        <v>0</v>
      </c>
      <c r="B134" s="2">
        <v>0</v>
      </c>
      <c r="C134" s="2"/>
      <c r="D134" s="2"/>
      <c r="E134" s="2" t="s">
        <v>3179</v>
      </c>
      <c r="F134" s="2"/>
      <c r="G134" s="2" t="s">
        <v>3179</v>
      </c>
      <c r="H134" s="2" t="s">
        <v>3180</v>
      </c>
      <c r="I134" s="2" t="s">
        <v>3180</v>
      </c>
      <c r="J134" s="2" t="s">
        <v>3181</v>
      </c>
      <c r="K134" s="2" t="s">
        <v>3179</v>
      </c>
      <c r="L134" s="2" t="s">
        <v>3179</v>
      </c>
      <c r="M134" s="2" t="s">
        <v>3182</v>
      </c>
      <c r="N134" s="2" t="s">
        <v>3183</v>
      </c>
      <c r="O134" s="2"/>
      <c r="P134" s="2" t="s">
        <v>3184</v>
      </c>
      <c r="Q134" s="2" t="s">
        <v>3184</v>
      </c>
      <c r="R134" s="2" t="s">
        <v>3185</v>
      </c>
      <c r="S134" s="2" t="s">
        <v>3184</v>
      </c>
      <c r="T134" s="2">
        <v>87</v>
      </c>
      <c r="U134" s="2">
        <v>7</v>
      </c>
      <c r="V134" s="2" t="s">
        <v>3186</v>
      </c>
      <c r="W134" s="2"/>
      <c r="X134" s="2"/>
      <c r="Y134" s="2"/>
      <c r="Z134" s="2" t="s">
        <v>3187</v>
      </c>
      <c r="AA134" s="2" t="s">
        <v>3188</v>
      </c>
      <c r="AB134" s="2">
        <v>3</v>
      </c>
      <c r="AC134" s="2" t="s">
        <v>214</v>
      </c>
      <c r="AD134" s="2" t="s">
        <v>3189</v>
      </c>
      <c r="AE134" s="2">
        <v>36</v>
      </c>
      <c r="AF134" s="2" t="s">
        <v>141</v>
      </c>
      <c r="AG134" s="2"/>
      <c r="AH134" s="2"/>
      <c r="AI134" s="2"/>
      <c r="AJ134" s="2"/>
      <c r="AK134" s="2" t="s">
        <v>217</v>
      </c>
      <c r="AL134" s="2" t="s">
        <v>3190</v>
      </c>
      <c r="AM134" s="2" t="s">
        <v>3191</v>
      </c>
      <c r="AN134" s="2" t="s">
        <v>3192</v>
      </c>
      <c r="AO134" s="2" t="s">
        <v>3193</v>
      </c>
      <c r="AP134" s="2">
        <v>209583000</v>
      </c>
      <c r="AQ134" s="2">
        <v>209583000</v>
      </c>
      <c r="AR134" s="2" t="s">
        <v>253</v>
      </c>
      <c r="AS134" s="2">
        <v>83281171</v>
      </c>
      <c r="AT134" s="2" t="s">
        <v>3194</v>
      </c>
      <c r="AU134" s="2"/>
      <c r="AV134" s="2"/>
      <c r="AW134" s="2" t="s">
        <v>219</v>
      </c>
      <c r="AX134" s="2">
        <v>90789956</v>
      </c>
      <c r="AY134" s="2" t="s">
        <v>3195</v>
      </c>
      <c r="AZ134" s="2" t="s">
        <v>3196</v>
      </c>
      <c r="BA134" s="2" t="s">
        <v>3197</v>
      </c>
      <c r="BB134" s="2">
        <v>0</v>
      </c>
      <c r="BC134" s="3" t="str">
        <f>HYPERLINK("https://patentscout.innography.com/share/qsN1lVHTiwp-yfeMIwtkEw%3D%3D","KR20220122349")</f>
        <v>KR20220122349</v>
      </c>
      <c r="BD134" s="2" t="s">
        <v>3198</v>
      </c>
      <c r="BE134" s="2" t="s">
        <v>3199</v>
      </c>
      <c r="BF134" s="2" t="s">
        <v>3200</v>
      </c>
      <c r="BG134" s="2" t="str">
        <f>HYPERLINK("https://patentscout.innography.com/share/qsN1lVHTiwp-yfeMIwtkEw%3D%3D/download", "Download PDF")</f>
        <v>Download PDF</v>
      </c>
      <c r="BH134" s="2" t="s">
        <v>3201</v>
      </c>
      <c r="BI134" s="2"/>
      <c r="BJ134" s="2" t="s">
        <v>3195</v>
      </c>
      <c r="BK134" s="2" t="s">
        <v>3195</v>
      </c>
      <c r="BL134" s="2" t="s">
        <v>3195</v>
      </c>
      <c r="BM134" s="2"/>
      <c r="BN134" s="2"/>
      <c r="BO134" s="2"/>
      <c r="BP134" s="2"/>
      <c r="BQ134" s="2"/>
      <c r="BR134" s="2"/>
      <c r="BS134" s="2"/>
      <c r="BT134" s="2"/>
      <c r="BU134" s="2"/>
      <c r="BV134" s="2"/>
      <c r="BW134" s="2"/>
      <c r="BX134" s="2"/>
      <c r="BY134" s="2"/>
      <c r="BZ134" s="2"/>
      <c r="CA134" s="2"/>
      <c r="CB134" s="2"/>
      <c r="CC134" s="2" t="s">
        <v>228</v>
      </c>
      <c r="CD134" s="2" t="str">
        <f>HYPERLINK("https://patentscout.innography.com/share/qsN1lVHTiwp-yfeMIwtkEw%3D%3D", "Innography Link")</f>
        <v>Innography Link</v>
      </c>
      <c r="CE134" s="2"/>
      <c r="CF134" s="2"/>
      <c r="CG134" s="2"/>
      <c r="CH134" s="2"/>
      <c r="CI134" s="2"/>
      <c r="CK134" s="2" t="s">
        <v>3202</v>
      </c>
    </row>
    <row r="135" spans="1:93" ht="152" customHeight="1" x14ac:dyDescent="0.45">
      <c r="A135" s="2">
        <v>0</v>
      </c>
      <c r="B135" s="2">
        <v>6</v>
      </c>
      <c r="C135" s="2" t="s">
        <v>3203</v>
      </c>
      <c r="D135" s="2"/>
      <c r="E135" s="2"/>
      <c r="F135" s="2" t="s">
        <v>3204</v>
      </c>
      <c r="G135" s="2" t="s">
        <v>3204</v>
      </c>
      <c r="H135" s="2" t="s">
        <v>1720</v>
      </c>
      <c r="I135" s="2" t="s">
        <v>1720</v>
      </c>
      <c r="J135" s="2" t="s">
        <v>1721</v>
      </c>
      <c r="K135" s="2" t="s">
        <v>3204</v>
      </c>
      <c r="L135" s="2" t="s">
        <v>3204</v>
      </c>
      <c r="M135" s="2" t="s">
        <v>3205</v>
      </c>
      <c r="N135" s="2" t="s">
        <v>3206</v>
      </c>
      <c r="O135" s="2"/>
      <c r="P135" s="2" t="s">
        <v>3207</v>
      </c>
      <c r="Q135" s="2"/>
      <c r="R135" s="2"/>
      <c r="S135" s="2" t="s">
        <v>3207</v>
      </c>
      <c r="T135" s="2">
        <v>87</v>
      </c>
      <c r="U135" s="2">
        <v>5</v>
      </c>
      <c r="V135" s="2" t="s">
        <v>3208</v>
      </c>
      <c r="W135" s="2"/>
      <c r="X135" s="2"/>
      <c r="Y135" s="2"/>
      <c r="Z135" s="2" t="s">
        <v>3209</v>
      </c>
      <c r="AA135" s="2" t="s">
        <v>3210</v>
      </c>
      <c r="AB135" s="2">
        <v>4</v>
      </c>
      <c r="AC135" s="2" t="s">
        <v>235</v>
      </c>
      <c r="AD135" s="2" t="s">
        <v>3207</v>
      </c>
      <c r="AE135" s="2">
        <v>422</v>
      </c>
      <c r="AF135" s="2" t="s">
        <v>141</v>
      </c>
      <c r="AG135" s="2"/>
      <c r="AH135" s="2"/>
      <c r="AI135" s="2"/>
      <c r="AJ135" s="2"/>
      <c r="AK135" s="2" t="s">
        <v>217</v>
      </c>
      <c r="AL135" s="2" t="s">
        <v>3211</v>
      </c>
      <c r="AM135" s="2" t="s">
        <v>3211</v>
      </c>
      <c r="AN135" s="2" t="s">
        <v>3212</v>
      </c>
      <c r="AO135" s="2" t="s">
        <v>3213</v>
      </c>
      <c r="AP135" s="2" t="s">
        <v>3214</v>
      </c>
      <c r="AQ135" s="2" t="s">
        <v>3214</v>
      </c>
      <c r="AR135" s="2" t="s">
        <v>253</v>
      </c>
      <c r="AS135" s="2">
        <v>83597016</v>
      </c>
      <c r="AT135" s="2" t="s">
        <v>3215</v>
      </c>
      <c r="AU135" s="2"/>
      <c r="AV135" s="2"/>
      <c r="AW135" s="2" t="s">
        <v>1528</v>
      </c>
      <c r="AX135" s="2">
        <v>91636947</v>
      </c>
      <c r="AY135" s="2" t="s">
        <v>3216</v>
      </c>
      <c r="AZ135" s="2" t="s">
        <v>3217</v>
      </c>
      <c r="BA135" s="2" t="s">
        <v>1732</v>
      </c>
      <c r="BB135" s="2">
        <v>0</v>
      </c>
      <c r="BC135" s="3" t="str">
        <f>HYPERLINK("https://patentscout.innography.com/share/tsGagmD9uUaJMXD1qr95_Q%3D%3D","KR102450736")</f>
        <v>KR102450736</v>
      </c>
      <c r="BD135" s="2" t="s">
        <v>3218</v>
      </c>
      <c r="BE135" s="2" t="s">
        <v>3219</v>
      </c>
      <c r="BF135" s="2" t="s">
        <v>3220</v>
      </c>
      <c r="BG135" s="2" t="str">
        <f>HYPERLINK("https://patentscout.innography.com/share/tsGagmD9uUaJMXD1qr95_Q%3D%3D/download", "Download PDF")</f>
        <v>Download PDF</v>
      </c>
      <c r="BH135" s="2" t="s">
        <v>3221</v>
      </c>
      <c r="BI135" s="2"/>
      <c r="BJ135" s="2" t="s">
        <v>3222</v>
      </c>
      <c r="BK135" s="2" t="s">
        <v>3222</v>
      </c>
      <c r="BL135" s="2" t="s">
        <v>3222</v>
      </c>
      <c r="BM135" s="2"/>
      <c r="BN135" s="2"/>
      <c r="BO135" s="2"/>
      <c r="BP135" s="2"/>
      <c r="BQ135" s="2"/>
      <c r="BR135" s="2"/>
      <c r="BS135" s="2"/>
      <c r="BT135" s="2"/>
      <c r="BU135" s="2"/>
      <c r="BV135" s="2"/>
      <c r="BW135" s="2"/>
      <c r="BX135" s="2"/>
      <c r="BY135" s="2"/>
      <c r="BZ135" s="2"/>
      <c r="CA135" s="2"/>
      <c r="CB135" s="2"/>
      <c r="CC135" s="2" t="s">
        <v>243</v>
      </c>
      <c r="CD135" s="2" t="str">
        <f>HYPERLINK("https://patentscout.innography.com/share/tsGagmD9uUaJMXD1qr95_Q%3D%3D", "Innography Link")</f>
        <v>Innography Link</v>
      </c>
      <c r="CE135" s="2"/>
      <c r="CF135" s="2"/>
      <c r="CG135" s="2"/>
      <c r="CH135" s="2"/>
      <c r="CI135" s="2"/>
      <c r="CK135" s="2" t="s">
        <v>3223</v>
      </c>
      <c r="CL135" s="2" t="s">
        <v>780</v>
      </c>
    </row>
    <row r="136" spans="1:93" ht="152" customHeight="1" x14ac:dyDescent="0.45">
      <c r="A136" s="2">
        <v>5</v>
      </c>
      <c r="B136" s="2">
        <v>0</v>
      </c>
      <c r="C136" s="2"/>
      <c r="D136" s="2" t="s">
        <v>3224</v>
      </c>
      <c r="E136" s="2" t="s">
        <v>3225</v>
      </c>
      <c r="F136" s="2"/>
      <c r="G136" s="2" t="s">
        <v>3225</v>
      </c>
      <c r="H136" s="2" t="s">
        <v>3226</v>
      </c>
      <c r="I136" s="2" t="s">
        <v>3226</v>
      </c>
      <c r="J136" s="2" t="s">
        <v>3227</v>
      </c>
      <c r="K136" s="2" t="s">
        <v>3225</v>
      </c>
      <c r="L136" s="2" t="s">
        <v>3225</v>
      </c>
      <c r="M136" s="2" t="s">
        <v>3228</v>
      </c>
      <c r="N136" s="2" t="s">
        <v>3229</v>
      </c>
      <c r="O136" s="2"/>
      <c r="P136" s="2" t="s">
        <v>3230</v>
      </c>
      <c r="Q136" s="2"/>
      <c r="R136" s="2"/>
      <c r="S136" s="2" t="s">
        <v>3230</v>
      </c>
      <c r="T136" s="2">
        <v>87</v>
      </c>
      <c r="U136" s="2">
        <v>52</v>
      </c>
      <c r="V136" s="2" t="s">
        <v>3231</v>
      </c>
      <c r="W136" s="2"/>
      <c r="X136" s="2"/>
      <c r="Y136" s="2"/>
      <c r="Z136" s="2" t="s">
        <v>3232</v>
      </c>
      <c r="AA136" s="2" t="s">
        <v>3233</v>
      </c>
      <c r="AB136" s="2">
        <v>2</v>
      </c>
      <c r="AC136" s="2" t="s">
        <v>214</v>
      </c>
      <c r="AD136" s="2" t="s">
        <v>3230</v>
      </c>
      <c r="AE136" s="2">
        <v>32</v>
      </c>
      <c r="AF136" s="2" t="s">
        <v>141</v>
      </c>
      <c r="AG136" s="2"/>
      <c r="AH136" s="2"/>
      <c r="AI136" s="2"/>
      <c r="AJ136" s="2"/>
      <c r="AK136" s="2" t="s">
        <v>217</v>
      </c>
      <c r="AL136" s="2" t="s">
        <v>298</v>
      </c>
      <c r="AM136" s="2" t="s">
        <v>3234</v>
      </c>
      <c r="AN136" s="2" t="s">
        <v>359</v>
      </c>
      <c r="AO136" s="2" t="s">
        <v>3235</v>
      </c>
      <c r="AP136" s="2">
        <v>705348000</v>
      </c>
      <c r="AQ136" s="2">
        <v>705348000</v>
      </c>
      <c r="AR136" s="2" t="s">
        <v>185</v>
      </c>
      <c r="AS136" s="2">
        <v>76376084</v>
      </c>
      <c r="AT136" s="2" t="s">
        <v>3236</v>
      </c>
      <c r="AU136" s="2"/>
      <c r="AV136" s="2"/>
      <c r="AW136" s="2" t="s">
        <v>219</v>
      </c>
      <c r="AX136" s="2">
        <v>81019371</v>
      </c>
      <c r="AY136" s="2" t="s">
        <v>1267</v>
      </c>
      <c r="AZ136" s="2" t="s">
        <v>3237</v>
      </c>
      <c r="BA136" s="2" t="s">
        <v>3238</v>
      </c>
      <c r="BB136" s="2">
        <v>0</v>
      </c>
      <c r="BC136" s="3" t="str">
        <f>HYPERLINK("https://patentscout.innography.com/share/-f1htaTQbLC2aH9L0RyFNQ%3D%3D","KR20210063284")</f>
        <v>KR20210063284</v>
      </c>
      <c r="BD136" s="2" t="s">
        <v>3239</v>
      </c>
      <c r="BE136" s="2"/>
      <c r="BF136" s="2" t="s">
        <v>3240</v>
      </c>
      <c r="BG136" s="2" t="str">
        <f>HYPERLINK("https://patentscout.innography.com/share/-f1htaTQbLC2aH9L0RyFNQ%3D%3D/download", "Download PDF")</f>
        <v>Download PDF</v>
      </c>
      <c r="BH136" s="2" t="s">
        <v>3241</v>
      </c>
      <c r="BI136" s="2"/>
      <c r="BJ136" s="2" t="s">
        <v>1267</v>
      </c>
      <c r="BK136" s="2" t="s">
        <v>1267</v>
      </c>
      <c r="BL136" s="2" t="s">
        <v>1267</v>
      </c>
      <c r="BM136" s="2"/>
      <c r="BN136" s="2"/>
      <c r="BO136" s="2"/>
      <c r="BP136" s="2"/>
      <c r="BQ136" s="2"/>
      <c r="BR136" s="2"/>
      <c r="BS136" s="2"/>
      <c r="BT136" s="2"/>
      <c r="BU136" s="2"/>
      <c r="BV136" s="2"/>
      <c r="BW136" s="2"/>
      <c r="BX136" s="2"/>
      <c r="BY136" s="2"/>
      <c r="BZ136" s="2"/>
      <c r="CA136" s="2"/>
      <c r="CB136" s="2"/>
      <c r="CC136" s="2" t="s">
        <v>228</v>
      </c>
      <c r="CD136" s="2" t="str">
        <f>HYPERLINK("https://patentscout.innography.com/share/-f1htaTQbLC2aH9L0RyFNQ%3D%3D", "Innography Link")</f>
        <v>Innography Link</v>
      </c>
      <c r="CE136" s="2" t="s">
        <v>3242</v>
      </c>
      <c r="CF136" s="2" t="s">
        <v>3243</v>
      </c>
      <c r="CG136" s="2" t="s">
        <v>1047</v>
      </c>
      <c r="CH136" s="2" t="s">
        <v>3244</v>
      </c>
      <c r="CI136" s="2"/>
      <c r="CK136" s="2" t="s">
        <v>3245</v>
      </c>
    </row>
    <row r="137" spans="1:93" ht="152" customHeight="1" x14ac:dyDescent="0.45">
      <c r="A137" s="2">
        <v>0</v>
      </c>
      <c r="B137" s="2">
        <v>0</v>
      </c>
      <c r="C137" s="2"/>
      <c r="D137" s="2"/>
      <c r="E137" s="2" t="s">
        <v>2080</v>
      </c>
      <c r="F137" s="2"/>
      <c r="G137" s="2" t="s">
        <v>2080</v>
      </c>
      <c r="H137" s="2" t="s">
        <v>2081</v>
      </c>
      <c r="I137" s="2" t="s">
        <v>2081</v>
      </c>
      <c r="J137" s="2" t="s">
        <v>2082</v>
      </c>
      <c r="K137" s="2" t="s">
        <v>2080</v>
      </c>
      <c r="L137" s="2" t="s">
        <v>2080</v>
      </c>
      <c r="M137" s="2" t="s">
        <v>3246</v>
      </c>
      <c r="N137" s="2" t="s">
        <v>3247</v>
      </c>
      <c r="O137" s="2" t="s">
        <v>3248</v>
      </c>
      <c r="P137" s="2" t="s">
        <v>3249</v>
      </c>
      <c r="Q137" s="2"/>
      <c r="R137" s="2"/>
      <c r="S137" s="2" t="s">
        <v>3249</v>
      </c>
      <c r="T137" s="2">
        <v>87</v>
      </c>
      <c r="U137" s="2">
        <v>3</v>
      </c>
      <c r="V137" s="2" t="s">
        <v>3250</v>
      </c>
      <c r="W137" s="2"/>
      <c r="X137" s="2"/>
      <c r="Y137" s="2"/>
      <c r="Z137" s="2" t="s">
        <v>3251</v>
      </c>
      <c r="AA137" s="2" t="s">
        <v>3251</v>
      </c>
      <c r="AB137" s="2">
        <v>1</v>
      </c>
      <c r="AC137" s="2" t="s">
        <v>214</v>
      </c>
      <c r="AD137" s="2" t="s">
        <v>3249</v>
      </c>
      <c r="AE137" s="2">
        <v>132</v>
      </c>
      <c r="AF137" s="2" t="s">
        <v>141</v>
      </c>
      <c r="AG137" s="2"/>
      <c r="AH137" s="2"/>
      <c r="AI137" s="2"/>
      <c r="AJ137" s="2"/>
      <c r="AK137" s="2" t="s">
        <v>217</v>
      </c>
      <c r="AL137" s="2" t="s">
        <v>298</v>
      </c>
      <c r="AM137" s="2" t="s">
        <v>3252</v>
      </c>
      <c r="AN137" s="2" t="s">
        <v>359</v>
      </c>
      <c r="AO137" s="2" t="s">
        <v>3253</v>
      </c>
      <c r="AP137" s="2">
        <v>705348000</v>
      </c>
      <c r="AQ137" s="2">
        <v>705348000</v>
      </c>
      <c r="AR137" s="2" t="s">
        <v>253</v>
      </c>
      <c r="AS137" s="2">
        <v>79165723</v>
      </c>
      <c r="AT137" s="2" t="s">
        <v>3254</v>
      </c>
      <c r="AU137" s="2"/>
      <c r="AV137" s="2"/>
      <c r="AW137" s="2" t="s">
        <v>219</v>
      </c>
      <c r="AX137" s="2">
        <v>83959151</v>
      </c>
      <c r="AY137" s="2" t="s">
        <v>3255</v>
      </c>
      <c r="AZ137" s="2" t="s">
        <v>3256</v>
      </c>
      <c r="BA137" s="2" t="s">
        <v>2095</v>
      </c>
      <c r="BB137" s="2">
        <v>0</v>
      </c>
      <c r="BC137" s="3" t="str">
        <f>HYPERLINK("https://patentscout.innography.com/share/4m4Q7IQ6UbUrw5X_zhI_0w%3D%3D","KR20210154914")</f>
        <v>KR20210154914</v>
      </c>
      <c r="BD137" s="2" t="s">
        <v>3257</v>
      </c>
      <c r="BE137" s="2"/>
      <c r="BF137" s="2" t="s">
        <v>3258</v>
      </c>
      <c r="BG137" s="2" t="str">
        <f>HYPERLINK("https://patentscout.innography.com/share/4m4Q7IQ6UbUrw5X_zhI_0w%3D%3D/download", "Download PDF")</f>
        <v>Download PDF</v>
      </c>
      <c r="BH137" s="2" t="s">
        <v>3259</v>
      </c>
      <c r="BI137" s="2"/>
      <c r="BJ137" s="2" t="s">
        <v>3255</v>
      </c>
      <c r="BK137" s="2" t="s">
        <v>3255</v>
      </c>
      <c r="BL137" s="2" t="s">
        <v>3255</v>
      </c>
      <c r="BM137" s="2"/>
      <c r="BN137" s="2"/>
      <c r="BO137" s="2"/>
      <c r="BP137" s="2"/>
      <c r="BQ137" s="2"/>
      <c r="BR137" s="2"/>
      <c r="BS137" s="2"/>
      <c r="BT137" s="2"/>
      <c r="BU137" s="2"/>
      <c r="BV137" s="2"/>
      <c r="BW137" s="2"/>
      <c r="BX137" s="2"/>
      <c r="BY137" s="2"/>
      <c r="BZ137" s="2"/>
      <c r="CA137" s="2"/>
      <c r="CB137" s="2"/>
      <c r="CC137" s="2" t="s">
        <v>228</v>
      </c>
      <c r="CD137" s="2" t="str">
        <f>HYPERLINK("https://patentscout.innography.com/share/4m4Q7IQ6UbUrw5X_zhI_0w%3D%3D", "Innography Link")</f>
        <v>Innography Link</v>
      </c>
      <c r="CE137" s="2"/>
      <c r="CF137" s="2"/>
      <c r="CG137" s="2"/>
      <c r="CH137" s="2"/>
      <c r="CI137" s="2"/>
      <c r="CK137" s="2" t="s">
        <v>3260</v>
      </c>
    </row>
    <row r="138" spans="1:93" ht="152" customHeight="1" x14ac:dyDescent="0.45">
      <c r="A138" s="2">
        <v>0</v>
      </c>
      <c r="B138" s="2">
        <v>2</v>
      </c>
      <c r="C138" s="2" t="s">
        <v>3261</v>
      </c>
      <c r="D138" s="2"/>
      <c r="E138" s="2" t="s">
        <v>1246</v>
      </c>
      <c r="F138" s="2"/>
      <c r="G138" s="2" t="s">
        <v>1246</v>
      </c>
      <c r="H138" s="2" t="s">
        <v>3262</v>
      </c>
      <c r="I138" s="2" t="s">
        <v>3262</v>
      </c>
      <c r="J138" s="2" t="s">
        <v>3263</v>
      </c>
      <c r="K138" s="2" t="s">
        <v>1246</v>
      </c>
      <c r="L138" s="2" t="s">
        <v>1246</v>
      </c>
      <c r="M138" s="2" t="s">
        <v>3264</v>
      </c>
      <c r="N138" s="2" t="s">
        <v>3265</v>
      </c>
      <c r="O138" s="2"/>
      <c r="P138" s="2" t="s">
        <v>3266</v>
      </c>
      <c r="Q138" s="2"/>
      <c r="R138" s="2"/>
      <c r="S138" s="2" t="s">
        <v>3266</v>
      </c>
      <c r="T138" s="2">
        <v>87</v>
      </c>
      <c r="U138" s="2">
        <v>4</v>
      </c>
      <c r="V138" s="2" t="s">
        <v>3267</v>
      </c>
      <c r="W138" s="2"/>
      <c r="X138" s="2"/>
      <c r="Y138" s="2"/>
      <c r="Z138" s="2" t="s">
        <v>3268</v>
      </c>
      <c r="AA138" s="2" t="s">
        <v>3269</v>
      </c>
      <c r="AB138" s="2">
        <v>2</v>
      </c>
      <c r="AC138" s="2" t="s">
        <v>214</v>
      </c>
      <c r="AD138" s="2" t="s">
        <v>3266</v>
      </c>
      <c r="AE138" s="2">
        <v>130</v>
      </c>
      <c r="AF138" s="2" t="s">
        <v>141</v>
      </c>
      <c r="AG138" s="2"/>
      <c r="AH138" s="2"/>
      <c r="AI138" s="2"/>
      <c r="AJ138" s="2"/>
      <c r="AK138" s="2" t="s">
        <v>217</v>
      </c>
      <c r="AL138" s="2" t="s">
        <v>3270</v>
      </c>
      <c r="AM138" s="2" t="s">
        <v>3271</v>
      </c>
      <c r="AN138" s="2" t="s">
        <v>3272</v>
      </c>
      <c r="AO138" s="2" t="s">
        <v>3273</v>
      </c>
      <c r="AP138" s="2">
        <v>705348000</v>
      </c>
      <c r="AQ138" s="2">
        <v>705348000</v>
      </c>
      <c r="AR138" s="2" t="s">
        <v>253</v>
      </c>
      <c r="AS138" s="2">
        <v>84234886</v>
      </c>
      <c r="AT138" s="2" t="s">
        <v>3274</v>
      </c>
      <c r="AU138" s="2"/>
      <c r="AV138" s="2"/>
      <c r="AW138" s="2" t="s">
        <v>1259</v>
      </c>
      <c r="AX138" s="2">
        <v>92812672</v>
      </c>
      <c r="AY138" s="2" t="s">
        <v>3275</v>
      </c>
      <c r="AZ138" s="2" t="s">
        <v>3276</v>
      </c>
      <c r="BA138" s="2" t="s">
        <v>3277</v>
      </c>
      <c r="BB138" s="2">
        <v>0</v>
      </c>
      <c r="BC138" s="3" t="str">
        <f>HYPERLINK("https://patentscout.innography.com/share/RmZY_ndaohj3-RsyFLBeMg%3D%3D","KR20220157013")</f>
        <v>KR20220157013</v>
      </c>
      <c r="BD138" s="2" t="s">
        <v>3278</v>
      </c>
      <c r="BE138" s="2"/>
      <c r="BF138" s="2" t="s">
        <v>3279</v>
      </c>
      <c r="BG138" s="2" t="str">
        <f>HYPERLINK("https://patentscout.innography.com/share/RmZY_ndaohj3-RsyFLBeMg%3D%3D/download", "Download PDF")</f>
        <v>Download PDF</v>
      </c>
      <c r="BH138" s="2" t="s">
        <v>3280</v>
      </c>
      <c r="BI138" s="2"/>
      <c r="BJ138" s="2" t="s">
        <v>3275</v>
      </c>
      <c r="BK138" s="2" t="s">
        <v>3275</v>
      </c>
      <c r="BL138" s="2" t="s">
        <v>3275</v>
      </c>
      <c r="BM138" s="2"/>
      <c r="BN138" s="2"/>
      <c r="BO138" s="2"/>
      <c r="BP138" s="2"/>
      <c r="BQ138" s="2"/>
      <c r="BR138" s="2"/>
      <c r="BS138" s="2"/>
      <c r="BT138" s="2"/>
      <c r="BU138" s="2"/>
      <c r="BV138" s="2"/>
      <c r="BW138" s="2"/>
      <c r="BX138" s="2"/>
      <c r="BY138" s="2"/>
      <c r="BZ138" s="2"/>
      <c r="CA138" s="2"/>
      <c r="CB138" s="2"/>
      <c r="CC138" s="2" t="s">
        <v>228</v>
      </c>
      <c r="CD138" s="2" t="str">
        <f>HYPERLINK("https://patentscout.innography.com/share/RmZY_ndaohj3-RsyFLBeMg%3D%3D", "Innography Link")</f>
        <v>Innography Link</v>
      </c>
      <c r="CE138" s="2"/>
      <c r="CF138" s="2"/>
      <c r="CG138" s="2"/>
      <c r="CH138" s="2"/>
      <c r="CI138" s="2"/>
      <c r="CK138" s="2" t="s">
        <v>3281</v>
      </c>
      <c r="CL138" s="2" t="s">
        <v>3282</v>
      </c>
    </row>
    <row r="139" spans="1:93" ht="152" customHeight="1" x14ac:dyDescent="0.45">
      <c r="A139" s="2">
        <v>0</v>
      </c>
      <c r="B139" s="2">
        <v>0</v>
      </c>
      <c r="C139" s="2"/>
      <c r="D139" s="2"/>
      <c r="E139" s="2" t="s">
        <v>3283</v>
      </c>
      <c r="F139" s="2"/>
      <c r="G139" s="2" t="s">
        <v>3283</v>
      </c>
      <c r="H139" s="2" t="s">
        <v>3284</v>
      </c>
      <c r="I139" s="2" t="s">
        <v>3284</v>
      </c>
      <c r="J139" s="2" t="s">
        <v>3285</v>
      </c>
      <c r="K139" s="2" t="s">
        <v>3283</v>
      </c>
      <c r="L139" s="2" t="s">
        <v>3283</v>
      </c>
      <c r="M139" s="2" t="s">
        <v>3286</v>
      </c>
      <c r="N139" s="2" t="s">
        <v>3287</v>
      </c>
      <c r="O139" s="2"/>
      <c r="P139" s="2" t="s">
        <v>3288</v>
      </c>
      <c r="Q139" s="2"/>
      <c r="R139" s="2"/>
      <c r="S139" s="2" t="s">
        <v>3288</v>
      </c>
      <c r="T139" s="2">
        <v>87</v>
      </c>
      <c r="U139" s="2">
        <v>6</v>
      </c>
      <c r="V139" s="2" t="s">
        <v>3289</v>
      </c>
      <c r="W139" s="2"/>
      <c r="X139" s="2"/>
      <c r="Y139" s="2"/>
      <c r="Z139" s="2" t="s">
        <v>3290</v>
      </c>
      <c r="AA139" s="2" t="s">
        <v>3290</v>
      </c>
      <c r="AB139" s="2">
        <v>1</v>
      </c>
      <c r="AC139" s="2" t="s">
        <v>214</v>
      </c>
      <c r="AD139" s="2" t="s">
        <v>3288</v>
      </c>
      <c r="AE139" s="2">
        <v>48</v>
      </c>
      <c r="AF139" s="2" t="s">
        <v>141</v>
      </c>
      <c r="AG139" s="2"/>
      <c r="AH139" s="2"/>
      <c r="AI139" s="2"/>
      <c r="AJ139" s="2"/>
      <c r="AK139" s="2" t="s">
        <v>217</v>
      </c>
      <c r="AL139" s="2" t="s">
        <v>3291</v>
      </c>
      <c r="AM139" s="2" t="s">
        <v>3292</v>
      </c>
      <c r="AN139" s="2" t="s">
        <v>539</v>
      </c>
      <c r="AO139" s="2" t="s">
        <v>3293</v>
      </c>
      <c r="AP139" s="2">
        <v>705348000</v>
      </c>
      <c r="AQ139" s="2">
        <v>705348000</v>
      </c>
      <c r="AR139" s="2" t="s">
        <v>253</v>
      </c>
      <c r="AS139" s="2">
        <v>84041432</v>
      </c>
      <c r="AT139" s="2" t="s">
        <v>3294</v>
      </c>
      <c r="AU139" s="2"/>
      <c r="AV139" s="2"/>
      <c r="AW139" s="2" t="s">
        <v>219</v>
      </c>
      <c r="AX139" s="2">
        <v>92597519</v>
      </c>
      <c r="AY139" s="2" t="s">
        <v>3295</v>
      </c>
      <c r="AZ139" s="2" t="s">
        <v>3296</v>
      </c>
      <c r="BA139" s="2" t="s">
        <v>3297</v>
      </c>
      <c r="BB139" s="2">
        <v>0</v>
      </c>
      <c r="BC139" s="3" t="str">
        <f>HYPERLINK("https://patentscout.innography.com/share/ScROIAXRM7gK_iVVtlHdBw%3D%3D","KR20220149232")</f>
        <v>KR20220149232</v>
      </c>
      <c r="BD139" s="2" t="s">
        <v>3298</v>
      </c>
      <c r="BE139" s="2"/>
      <c r="BF139" s="2" t="s">
        <v>3299</v>
      </c>
      <c r="BG139" s="2" t="str">
        <f>HYPERLINK("https://patentscout.innography.com/share/ScROIAXRM7gK_iVVtlHdBw%3D%3D/download", "Download PDF")</f>
        <v>Download PDF</v>
      </c>
      <c r="BH139" s="2" t="s">
        <v>3300</v>
      </c>
      <c r="BI139" s="2"/>
      <c r="BJ139" s="2" t="s">
        <v>3295</v>
      </c>
      <c r="BK139" s="2" t="s">
        <v>3295</v>
      </c>
      <c r="BL139" s="2" t="s">
        <v>3295</v>
      </c>
      <c r="BM139" s="2"/>
      <c r="BN139" s="2"/>
      <c r="BO139" s="2"/>
      <c r="BP139" s="2"/>
      <c r="BQ139" s="2"/>
      <c r="BR139" s="2"/>
      <c r="BS139" s="2"/>
      <c r="BT139" s="2"/>
      <c r="BU139" s="2"/>
      <c r="BV139" s="2"/>
      <c r="BW139" s="2"/>
      <c r="BX139" s="2"/>
      <c r="BY139" s="2"/>
      <c r="BZ139" s="2"/>
      <c r="CA139" s="2"/>
      <c r="CB139" s="2"/>
      <c r="CC139" s="2" t="s">
        <v>228</v>
      </c>
      <c r="CD139" s="2" t="str">
        <f>HYPERLINK("https://patentscout.innography.com/share/ScROIAXRM7gK_iVVtlHdBw%3D%3D", "Innography Link")</f>
        <v>Innography Link</v>
      </c>
      <c r="CE139" s="2"/>
      <c r="CF139" s="2"/>
      <c r="CG139" s="2"/>
      <c r="CH139" s="2"/>
      <c r="CI139" s="2"/>
      <c r="CK139" s="2" t="s">
        <v>3301</v>
      </c>
    </row>
    <row r="140" spans="1:93" ht="152" customHeight="1" x14ac:dyDescent="0.45">
      <c r="A140" s="2">
        <v>0</v>
      </c>
      <c r="B140" s="2">
        <v>7</v>
      </c>
      <c r="C140" s="2" t="s">
        <v>3302</v>
      </c>
      <c r="D140" s="2"/>
      <c r="E140" s="2"/>
      <c r="F140" s="2" t="s">
        <v>2834</v>
      </c>
      <c r="G140" s="2" t="s">
        <v>2834</v>
      </c>
      <c r="H140" s="2" t="s">
        <v>3303</v>
      </c>
      <c r="I140" s="2" t="s">
        <v>3303</v>
      </c>
      <c r="J140" s="2" t="s">
        <v>3304</v>
      </c>
      <c r="K140" s="2" t="s">
        <v>2834</v>
      </c>
      <c r="L140" s="2" t="s">
        <v>2834</v>
      </c>
      <c r="M140" s="2" t="s">
        <v>3305</v>
      </c>
      <c r="N140" s="2" t="s">
        <v>3306</v>
      </c>
      <c r="O140" s="2"/>
      <c r="P140" s="2" t="s">
        <v>3307</v>
      </c>
      <c r="Q140" s="2" t="s">
        <v>3307</v>
      </c>
      <c r="R140" s="2" t="s">
        <v>3308</v>
      </c>
      <c r="S140" s="2" t="s">
        <v>3307</v>
      </c>
      <c r="T140" s="2">
        <v>87</v>
      </c>
      <c r="U140" s="2">
        <v>5</v>
      </c>
      <c r="V140" s="2" t="s">
        <v>3309</v>
      </c>
      <c r="W140" s="2"/>
      <c r="X140" s="2"/>
      <c r="Y140" s="2"/>
      <c r="Z140" s="2" t="s">
        <v>3310</v>
      </c>
      <c r="AA140" s="2" t="s">
        <v>3311</v>
      </c>
      <c r="AB140" s="2">
        <v>5</v>
      </c>
      <c r="AC140" s="2" t="s">
        <v>235</v>
      </c>
      <c r="AD140" s="2" t="s">
        <v>3312</v>
      </c>
      <c r="AE140" s="2">
        <v>1017</v>
      </c>
      <c r="AF140" s="2" t="s">
        <v>141</v>
      </c>
      <c r="AG140" s="2"/>
      <c r="AH140" s="2"/>
      <c r="AI140" s="2"/>
      <c r="AJ140" s="2"/>
      <c r="AK140" s="2" t="s">
        <v>217</v>
      </c>
      <c r="AL140" s="2" t="s">
        <v>298</v>
      </c>
      <c r="AM140" s="2" t="s">
        <v>298</v>
      </c>
      <c r="AN140" s="2" t="s">
        <v>359</v>
      </c>
      <c r="AO140" s="2" t="s">
        <v>3313</v>
      </c>
      <c r="AP140" s="2">
        <v>705348000</v>
      </c>
      <c r="AQ140" s="2">
        <v>705348000</v>
      </c>
      <c r="AR140" s="2" t="s">
        <v>253</v>
      </c>
      <c r="AS140" s="2">
        <v>84040370</v>
      </c>
      <c r="AT140" s="2" t="s">
        <v>3314</v>
      </c>
      <c r="AU140" s="2"/>
      <c r="AV140" s="2"/>
      <c r="AW140" s="2" t="s">
        <v>336</v>
      </c>
      <c r="AX140" s="2">
        <v>92599542</v>
      </c>
      <c r="AY140" s="2" t="s">
        <v>3315</v>
      </c>
      <c r="AZ140" s="2" t="s">
        <v>3316</v>
      </c>
      <c r="BA140" s="2" t="s">
        <v>3317</v>
      </c>
      <c r="BB140" s="2">
        <v>0</v>
      </c>
      <c r="BC140" s="3" t="str">
        <f>HYPERLINK("https://patentscout.innography.com/share/ocd1VC340elWs1aGTX1hyQ%3D%3D","KR102464437")</f>
        <v>KR102464437</v>
      </c>
      <c r="BD140" s="2" t="s">
        <v>3318</v>
      </c>
      <c r="BE140" s="2" t="s">
        <v>3319</v>
      </c>
      <c r="BF140" s="2" t="s">
        <v>3320</v>
      </c>
      <c r="BG140" s="2" t="str">
        <f>HYPERLINK("https://patentscout.innography.com/share/ocd1VC340elWs1aGTX1hyQ%3D%3D/download", "Download PDF")</f>
        <v>Download PDF</v>
      </c>
      <c r="BH140" s="2" t="s">
        <v>3321</v>
      </c>
      <c r="BI140" s="2"/>
      <c r="BJ140" s="2" t="s">
        <v>3322</v>
      </c>
      <c r="BK140" s="2" t="s">
        <v>3322</v>
      </c>
      <c r="BL140" s="2" t="s">
        <v>3322</v>
      </c>
      <c r="BM140" s="2"/>
      <c r="BN140" s="2"/>
      <c r="BO140" s="2"/>
      <c r="BP140" s="2"/>
      <c r="BQ140" s="2"/>
      <c r="BR140" s="2"/>
      <c r="BS140" s="2"/>
      <c r="BT140" s="2"/>
      <c r="BU140" s="2"/>
      <c r="BV140" s="2"/>
      <c r="BW140" s="2"/>
      <c r="BX140" s="2"/>
      <c r="BY140" s="2"/>
      <c r="BZ140" s="2"/>
      <c r="CA140" s="2"/>
      <c r="CB140" s="2"/>
      <c r="CC140" s="2" t="s">
        <v>243</v>
      </c>
      <c r="CD140" s="2" t="str">
        <f>HYPERLINK("https://patentscout.innography.com/share/ocd1VC340elWs1aGTX1hyQ%3D%3D", "Innography Link")</f>
        <v>Innography Link</v>
      </c>
      <c r="CE140" s="2"/>
      <c r="CF140" s="2"/>
      <c r="CG140" s="2"/>
      <c r="CH140" s="2"/>
      <c r="CI140" s="2"/>
      <c r="CK140" s="2" t="s">
        <v>3323</v>
      </c>
      <c r="CL140" s="2" t="s">
        <v>444</v>
      </c>
      <c r="CM140" s="2" t="s">
        <v>371</v>
      </c>
      <c r="CN140" s="2" t="s">
        <v>497</v>
      </c>
    </row>
    <row r="141" spans="1:93" ht="152" customHeight="1" x14ac:dyDescent="0.45">
      <c r="A141" s="2">
        <v>0</v>
      </c>
      <c r="B141" s="2">
        <v>3</v>
      </c>
      <c r="C141" s="2" t="s">
        <v>3324</v>
      </c>
      <c r="D141" s="2"/>
      <c r="E141" s="2"/>
      <c r="F141" s="2" t="s">
        <v>2436</v>
      </c>
      <c r="G141" s="2" t="s">
        <v>2436</v>
      </c>
      <c r="H141" s="2" t="s">
        <v>1135</v>
      </c>
      <c r="I141" s="2" t="s">
        <v>1135</v>
      </c>
      <c r="J141" s="2" t="s">
        <v>2562</v>
      </c>
      <c r="K141" s="2" t="s">
        <v>2436</v>
      </c>
      <c r="L141" s="2" t="s">
        <v>2436</v>
      </c>
      <c r="M141" s="2" t="s">
        <v>3325</v>
      </c>
      <c r="N141" s="2" t="s">
        <v>3326</v>
      </c>
      <c r="O141" s="2" t="s">
        <v>3327</v>
      </c>
      <c r="P141" s="2" t="s">
        <v>2566</v>
      </c>
      <c r="Q141" s="2" t="s">
        <v>2567</v>
      </c>
      <c r="R141" s="2" t="s">
        <v>2567</v>
      </c>
      <c r="S141" s="2" t="s">
        <v>2566</v>
      </c>
      <c r="T141" s="2">
        <v>87</v>
      </c>
      <c r="U141" s="2">
        <v>5</v>
      </c>
      <c r="V141" s="2" t="s">
        <v>3328</v>
      </c>
      <c r="W141" s="2"/>
      <c r="X141" s="2"/>
      <c r="Y141" s="2"/>
      <c r="Z141" s="2" t="s">
        <v>3329</v>
      </c>
      <c r="AA141" s="2" t="s">
        <v>3330</v>
      </c>
      <c r="AB141" s="2">
        <v>7</v>
      </c>
      <c r="AC141" s="2" t="s">
        <v>235</v>
      </c>
      <c r="AD141" s="2" t="s">
        <v>3331</v>
      </c>
      <c r="AE141" s="2">
        <v>155</v>
      </c>
      <c r="AF141" s="2" t="s">
        <v>141</v>
      </c>
      <c r="AG141" s="2"/>
      <c r="AH141" s="2"/>
      <c r="AI141" s="2"/>
      <c r="AJ141" s="2"/>
      <c r="AK141" s="2" t="s">
        <v>217</v>
      </c>
      <c r="AL141" s="2" t="s">
        <v>332</v>
      </c>
      <c r="AM141" s="2" t="s">
        <v>332</v>
      </c>
      <c r="AN141" s="2" t="s">
        <v>333</v>
      </c>
      <c r="AO141" s="2" t="s">
        <v>3332</v>
      </c>
      <c r="AP141" s="2">
        <v>340005530</v>
      </c>
      <c r="AQ141" s="2">
        <v>340005530</v>
      </c>
      <c r="AR141" s="2" t="s">
        <v>253</v>
      </c>
      <c r="AS141" s="2">
        <v>83597632</v>
      </c>
      <c r="AT141" s="2" t="s">
        <v>3333</v>
      </c>
      <c r="AU141" s="2"/>
      <c r="AV141" s="2"/>
      <c r="AW141" s="2" t="s">
        <v>336</v>
      </c>
      <c r="AX141" s="2">
        <v>91637425</v>
      </c>
      <c r="AY141" s="2" t="s">
        <v>3334</v>
      </c>
      <c r="AZ141" s="2" t="s">
        <v>3335</v>
      </c>
      <c r="BA141" s="2" t="s">
        <v>2576</v>
      </c>
      <c r="BB141" s="2">
        <v>0</v>
      </c>
      <c r="BC141" s="3" t="str">
        <f>HYPERLINK("https://patentscout.innography.com/share/0jN3cYK5HxwddZ6fJ8Cn0g%3D%3D","KR102452930")</f>
        <v>KR102452930</v>
      </c>
      <c r="BD141" s="2" t="s">
        <v>3336</v>
      </c>
      <c r="BE141" s="2" t="s">
        <v>3337</v>
      </c>
      <c r="BF141" s="2" t="s">
        <v>3338</v>
      </c>
      <c r="BG141" s="2" t="str">
        <f>HYPERLINK("https://patentscout.innography.com/share/0jN3cYK5HxwddZ6fJ8Cn0g%3D%3D/download", "Download PDF")</f>
        <v>Download PDF</v>
      </c>
      <c r="BH141" s="2" t="s">
        <v>3339</v>
      </c>
      <c r="BI141" s="2"/>
      <c r="BJ141" s="2" t="s">
        <v>3340</v>
      </c>
      <c r="BK141" s="2" t="s">
        <v>3340</v>
      </c>
      <c r="BL141" s="2" t="s">
        <v>3340</v>
      </c>
      <c r="BM141" s="2"/>
      <c r="BN141" s="2"/>
      <c r="BO141" s="2"/>
      <c r="BP141" s="2"/>
      <c r="BQ141" s="2"/>
      <c r="BR141" s="2"/>
      <c r="BS141" s="2"/>
      <c r="BT141" s="2"/>
      <c r="BU141" s="2"/>
      <c r="BV141" s="2"/>
      <c r="BW141" s="2"/>
      <c r="BX141" s="2"/>
      <c r="BY141" s="2"/>
      <c r="BZ141" s="2"/>
      <c r="CA141" s="2"/>
      <c r="CB141" s="2"/>
      <c r="CC141" s="2" t="s">
        <v>243</v>
      </c>
      <c r="CD141" s="2" t="str">
        <f>HYPERLINK("https://patentscout.innography.com/share/0jN3cYK5HxwddZ6fJ8Cn0g%3D%3D", "Innography Link")</f>
        <v>Innography Link</v>
      </c>
      <c r="CE141" s="2"/>
      <c r="CF141" s="2"/>
      <c r="CG141" s="2"/>
      <c r="CH141" s="2"/>
      <c r="CI141" s="2"/>
      <c r="CK141" s="2" t="s">
        <v>3341</v>
      </c>
      <c r="CL141" s="2" t="s">
        <v>371</v>
      </c>
    </row>
    <row r="142" spans="1:93" ht="152" customHeight="1" x14ac:dyDescent="0.45">
      <c r="A142" s="2">
        <v>0</v>
      </c>
      <c r="B142" s="2">
        <v>6</v>
      </c>
      <c r="C142" s="2" t="s">
        <v>3342</v>
      </c>
      <c r="D142" s="2"/>
      <c r="E142" s="2"/>
      <c r="F142" s="2" t="s">
        <v>3343</v>
      </c>
      <c r="G142" s="2" t="s">
        <v>3343</v>
      </c>
      <c r="H142" s="2" t="s">
        <v>3344</v>
      </c>
      <c r="I142" s="2" t="s">
        <v>3344</v>
      </c>
      <c r="J142" s="2" t="s">
        <v>3345</v>
      </c>
      <c r="K142" s="2" t="s">
        <v>3343</v>
      </c>
      <c r="L142" s="2" t="s">
        <v>3343</v>
      </c>
      <c r="M142" s="2" t="s">
        <v>3346</v>
      </c>
      <c r="N142" s="2" t="s">
        <v>3347</v>
      </c>
      <c r="O142" s="2" t="s">
        <v>3348</v>
      </c>
      <c r="P142" s="2" t="s">
        <v>3349</v>
      </c>
      <c r="Q142" s="2" t="s">
        <v>3350</v>
      </c>
      <c r="R142" s="2" t="s">
        <v>3350</v>
      </c>
      <c r="S142" s="2" t="s">
        <v>3349</v>
      </c>
      <c r="T142" s="2">
        <v>87</v>
      </c>
      <c r="U142" s="2">
        <v>3</v>
      </c>
      <c r="V142" s="2" t="s">
        <v>3351</v>
      </c>
      <c r="W142" s="2"/>
      <c r="X142" s="2"/>
      <c r="Y142" s="2"/>
      <c r="Z142" s="2" t="s">
        <v>3352</v>
      </c>
      <c r="AA142" s="2" t="s">
        <v>3353</v>
      </c>
      <c r="AB142" s="2">
        <v>3</v>
      </c>
      <c r="AC142" s="2" t="s">
        <v>235</v>
      </c>
      <c r="AD142" s="2" t="s">
        <v>3354</v>
      </c>
      <c r="AE142" s="2">
        <v>750</v>
      </c>
      <c r="AF142" s="2" t="s">
        <v>141</v>
      </c>
      <c r="AG142" s="2"/>
      <c r="AH142" s="2"/>
      <c r="AI142" s="2"/>
      <c r="AJ142" s="2"/>
      <c r="AK142" s="2" t="s">
        <v>217</v>
      </c>
      <c r="AL142" s="2" t="s">
        <v>298</v>
      </c>
      <c r="AM142" s="2" t="s">
        <v>298</v>
      </c>
      <c r="AN142" s="2" t="s">
        <v>359</v>
      </c>
      <c r="AO142" s="2" t="s">
        <v>3355</v>
      </c>
      <c r="AP142" s="2">
        <v>705348000</v>
      </c>
      <c r="AQ142" s="2">
        <v>705348000</v>
      </c>
      <c r="AR142" s="2" t="s">
        <v>253</v>
      </c>
      <c r="AS142" s="2">
        <v>83805795</v>
      </c>
      <c r="AT142" s="2" t="s">
        <v>3356</v>
      </c>
      <c r="AU142" s="2"/>
      <c r="AV142" s="2"/>
      <c r="AW142" s="2" t="s">
        <v>336</v>
      </c>
      <c r="AX142" s="2">
        <v>92243517</v>
      </c>
      <c r="AY142" s="2" t="s">
        <v>2940</v>
      </c>
      <c r="AZ142" s="2" t="s">
        <v>3357</v>
      </c>
      <c r="BA142" s="2" t="s">
        <v>3358</v>
      </c>
      <c r="BB142" s="2">
        <v>0</v>
      </c>
      <c r="BC142" s="3" t="str">
        <f>HYPERLINK("https://patentscout.innography.com/share/APQqNWpOcstv9GH1-STtzg%3D%3D","KR102458225")</f>
        <v>KR102458225</v>
      </c>
      <c r="BD142" s="2" t="s">
        <v>3359</v>
      </c>
      <c r="BE142" s="2" t="s">
        <v>3360</v>
      </c>
      <c r="BF142" s="2" t="s">
        <v>3361</v>
      </c>
      <c r="BG142" s="2" t="str">
        <f>HYPERLINK("https://patentscout.innography.com/share/APQqNWpOcstv9GH1-STtzg%3D%3D/download", "Download PDF")</f>
        <v>Download PDF</v>
      </c>
      <c r="BH142" s="2" t="s">
        <v>3362</v>
      </c>
      <c r="BI142" s="2"/>
      <c r="BJ142" s="2" t="s">
        <v>3363</v>
      </c>
      <c r="BK142" s="2" t="s">
        <v>3363</v>
      </c>
      <c r="BL142" s="2" t="s">
        <v>3363</v>
      </c>
      <c r="BM142" s="2"/>
      <c r="BN142" s="2"/>
      <c r="BO142" s="2"/>
      <c r="BP142" s="2"/>
      <c r="BQ142" s="2"/>
      <c r="BR142" s="2"/>
      <c r="BS142" s="2"/>
      <c r="BT142" s="2"/>
      <c r="BU142" s="2"/>
      <c r="BV142" s="2"/>
      <c r="BW142" s="2"/>
      <c r="BX142" s="2"/>
      <c r="BY142" s="2"/>
      <c r="BZ142" s="2"/>
      <c r="CA142" s="2"/>
      <c r="CB142" s="2"/>
      <c r="CC142" s="2" t="s">
        <v>243</v>
      </c>
      <c r="CD142" s="2" t="str">
        <f>HYPERLINK("https://patentscout.innography.com/share/APQqNWpOcstv9GH1-STtzg%3D%3D", "Innography Link")</f>
        <v>Innography Link</v>
      </c>
      <c r="CE142" s="2"/>
      <c r="CF142" s="2"/>
      <c r="CG142" s="2"/>
      <c r="CH142" s="2"/>
      <c r="CI142" s="2"/>
      <c r="CK142" s="2" t="s">
        <v>3364</v>
      </c>
      <c r="CL142" s="2" t="s">
        <v>780</v>
      </c>
      <c r="CM142" s="2" t="s">
        <v>444</v>
      </c>
    </row>
    <row r="143" spans="1:93" ht="152" customHeight="1" x14ac:dyDescent="0.45">
      <c r="A143" s="2">
        <v>3</v>
      </c>
      <c r="B143" s="2">
        <v>0</v>
      </c>
      <c r="C143" s="2"/>
      <c r="D143" s="2" t="s">
        <v>3365</v>
      </c>
      <c r="E143" s="2" t="s">
        <v>3366</v>
      </c>
      <c r="F143" s="2"/>
      <c r="G143" s="2" t="s">
        <v>3366</v>
      </c>
      <c r="H143" s="2" t="s">
        <v>287</v>
      </c>
      <c r="I143" s="2" t="s">
        <v>287</v>
      </c>
      <c r="J143" s="2" t="s">
        <v>3367</v>
      </c>
      <c r="K143" s="2" t="s">
        <v>286</v>
      </c>
      <c r="L143" s="2" t="s">
        <v>286</v>
      </c>
      <c r="M143" s="2" t="s">
        <v>3368</v>
      </c>
      <c r="N143" s="2" t="s">
        <v>291</v>
      </c>
      <c r="O143" s="2"/>
      <c r="P143" s="2" t="s">
        <v>173</v>
      </c>
      <c r="Q143" s="2" t="s">
        <v>173</v>
      </c>
      <c r="R143" s="2" t="s">
        <v>173</v>
      </c>
      <c r="S143" s="2" t="s">
        <v>173</v>
      </c>
      <c r="T143" s="2">
        <v>86</v>
      </c>
      <c r="U143" s="2">
        <v>25</v>
      </c>
      <c r="V143" s="2" t="s">
        <v>3369</v>
      </c>
      <c r="W143" s="2"/>
      <c r="X143" s="2"/>
      <c r="Y143" s="2"/>
      <c r="Z143" s="2" t="s">
        <v>3370</v>
      </c>
      <c r="AA143" s="2" t="s">
        <v>3370</v>
      </c>
      <c r="AB143" s="2">
        <v>10</v>
      </c>
      <c r="AC143" s="2" t="s">
        <v>214</v>
      </c>
      <c r="AD143" s="2" t="s">
        <v>297</v>
      </c>
      <c r="AE143" s="2">
        <v>97</v>
      </c>
      <c r="AF143" s="2" t="s">
        <v>141</v>
      </c>
      <c r="AG143" s="2"/>
      <c r="AH143" s="2"/>
      <c r="AI143" s="2"/>
      <c r="AJ143" s="2"/>
      <c r="AK143" s="2" t="s">
        <v>217</v>
      </c>
      <c r="AL143" s="2" t="s">
        <v>298</v>
      </c>
      <c r="AM143" s="2" t="s">
        <v>299</v>
      </c>
      <c r="AN143" s="2" t="s">
        <v>665</v>
      </c>
      <c r="AO143" s="2" t="s">
        <v>665</v>
      </c>
      <c r="AP143" s="2">
        <v>705002000</v>
      </c>
      <c r="AQ143" s="2">
        <v>705002000</v>
      </c>
      <c r="AR143" s="2" t="s">
        <v>146</v>
      </c>
      <c r="AS143" s="2">
        <v>43465691</v>
      </c>
      <c r="AT143" s="2" t="s">
        <v>302</v>
      </c>
      <c r="AU143" s="2"/>
      <c r="AV143" s="2"/>
      <c r="AW143" s="2" t="s">
        <v>1259</v>
      </c>
      <c r="AX143" s="2">
        <v>35125267</v>
      </c>
      <c r="AY143" s="2" t="s">
        <v>304</v>
      </c>
      <c r="AZ143" s="2" t="s">
        <v>3371</v>
      </c>
      <c r="BA143" s="2" t="s">
        <v>3372</v>
      </c>
      <c r="BB143" s="2">
        <v>0</v>
      </c>
      <c r="BC143" s="3" t="str">
        <f>HYPERLINK("https://patentscout.innography.com/share/knPmdxTG9S5vFFwZzryPTA%3D%3D","KR20110007419")</f>
        <v>KR20110007419</v>
      </c>
      <c r="BD143" s="2" t="s">
        <v>3373</v>
      </c>
      <c r="BE143" s="2" t="s">
        <v>3374</v>
      </c>
      <c r="BF143" s="2" t="s">
        <v>3375</v>
      </c>
      <c r="BG143" s="2" t="str">
        <f>HYPERLINK("https://patentscout.innography.com/share/knPmdxTG9S5vFFwZzryPTA%3D%3D/download", "Download PDF")</f>
        <v>Download PDF</v>
      </c>
      <c r="BH143" s="2" t="s">
        <v>3376</v>
      </c>
      <c r="BI143" s="2"/>
      <c r="BJ143" s="2" t="s">
        <v>312</v>
      </c>
      <c r="BK143" s="2" t="s">
        <v>312</v>
      </c>
      <c r="BL143" s="2" t="s">
        <v>312</v>
      </c>
      <c r="BM143" s="2"/>
      <c r="BN143" s="2"/>
      <c r="BO143" s="2"/>
      <c r="BP143" s="2"/>
      <c r="BQ143" s="2"/>
      <c r="BR143" s="2"/>
      <c r="BS143" s="2"/>
      <c r="BT143" s="2"/>
      <c r="BU143" s="2"/>
      <c r="BV143" s="2" t="s">
        <v>3377</v>
      </c>
      <c r="BW143" s="2"/>
      <c r="BX143" s="2"/>
      <c r="BY143" s="2"/>
      <c r="BZ143" s="2"/>
      <c r="CA143" s="2"/>
      <c r="CB143" s="2"/>
      <c r="CC143" s="2" t="s">
        <v>228</v>
      </c>
      <c r="CD143" s="2" t="str">
        <f>HYPERLINK("https://patentscout.innography.com/share/knPmdxTG9S5vFFwZzryPTA%3D%3D", "Innography Link")</f>
        <v>Innography Link</v>
      </c>
      <c r="CE143" s="2"/>
      <c r="CF143" s="2"/>
      <c r="CG143" s="2"/>
      <c r="CH143" s="2"/>
      <c r="CI143" s="2"/>
      <c r="CK143" s="2" t="s">
        <v>3378</v>
      </c>
      <c r="CL143" s="2" t="s">
        <v>3379</v>
      </c>
      <c r="CM143" s="2" t="s">
        <v>3380</v>
      </c>
    </row>
    <row r="144" spans="1:93" ht="152" customHeight="1" x14ac:dyDescent="0.45">
      <c r="A144" s="2">
        <v>0</v>
      </c>
      <c r="B144" s="2">
        <v>0</v>
      </c>
      <c r="C144" s="2"/>
      <c r="D144" s="2"/>
      <c r="E144" s="2" t="s">
        <v>3381</v>
      </c>
      <c r="F144" s="2"/>
      <c r="G144" s="2" t="s">
        <v>3381</v>
      </c>
      <c r="H144" s="2" t="s">
        <v>3382</v>
      </c>
      <c r="I144" s="2" t="s">
        <v>3382</v>
      </c>
      <c r="J144" s="2" t="s">
        <v>3383</v>
      </c>
      <c r="K144" s="2" t="s">
        <v>3381</v>
      </c>
      <c r="L144" s="2" t="s">
        <v>3381</v>
      </c>
      <c r="M144" s="2" t="s">
        <v>3384</v>
      </c>
      <c r="N144" s="2" t="s">
        <v>3385</v>
      </c>
      <c r="O144" s="2" t="s">
        <v>3386</v>
      </c>
      <c r="P144" s="2" t="s">
        <v>173</v>
      </c>
      <c r="Q144" s="2" t="s">
        <v>173</v>
      </c>
      <c r="R144" s="2" t="s">
        <v>173</v>
      </c>
      <c r="S144" s="2" t="s">
        <v>173</v>
      </c>
      <c r="T144" s="2">
        <v>86</v>
      </c>
      <c r="U144" s="2">
        <v>5</v>
      </c>
      <c r="V144" s="2" t="s">
        <v>3387</v>
      </c>
      <c r="W144" s="2"/>
      <c r="X144" s="2"/>
      <c r="Y144" s="2"/>
      <c r="Z144" s="2" t="s">
        <v>3388</v>
      </c>
      <c r="AA144" s="2" t="s">
        <v>3388</v>
      </c>
      <c r="AB144" s="2">
        <v>1</v>
      </c>
      <c r="AC144" s="2" t="s">
        <v>214</v>
      </c>
      <c r="AD144" s="2" t="s">
        <v>3389</v>
      </c>
      <c r="AE144" s="2">
        <v>91</v>
      </c>
      <c r="AF144" s="2" t="s">
        <v>180</v>
      </c>
      <c r="AG144" s="2"/>
      <c r="AH144" s="2"/>
      <c r="AI144" s="2"/>
      <c r="AJ144" s="2"/>
      <c r="AK144" s="2" t="s">
        <v>217</v>
      </c>
      <c r="AL144" s="2" t="s">
        <v>298</v>
      </c>
      <c r="AM144" s="2" t="s">
        <v>3390</v>
      </c>
      <c r="AN144" s="2" t="s">
        <v>359</v>
      </c>
      <c r="AO144" s="2" t="s">
        <v>359</v>
      </c>
      <c r="AP144" s="2">
        <v>705348000</v>
      </c>
      <c r="AQ144" s="2">
        <v>705348000</v>
      </c>
      <c r="AR144" s="2" t="s">
        <v>253</v>
      </c>
      <c r="AS144" s="2">
        <v>46710257</v>
      </c>
      <c r="AT144" s="2" t="s">
        <v>3391</v>
      </c>
      <c r="AU144" s="2"/>
      <c r="AV144" s="2"/>
      <c r="AW144" s="2" t="s">
        <v>219</v>
      </c>
      <c r="AX144" s="2">
        <v>38608557</v>
      </c>
      <c r="AY144" s="2" t="s">
        <v>3392</v>
      </c>
      <c r="AZ144" s="2" t="s">
        <v>3393</v>
      </c>
      <c r="BA144" s="2" t="s">
        <v>255</v>
      </c>
      <c r="BB144" s="2">
        <v>0</v>
      </c>
      <c r="BC144" s="3" t="str">
        <f>HYPERLINK("https://patentscout.innography.com/share/ewTqzLA0P8nqNyKf_sYhsQ%3D%3D","KR20120076658")</f>
        <v>KR20120076658</v>
      </c>
      <c r="BD144" s="2" t="s">
        <v>3394</v>
      </c>
      <c r="BE144" s="2" t="s">
        <v>3395</v>
      </c>
      <c r="BF144" s="2" t="s">
        <v>3396</v>
      </c>
      <c r="BG144" s="2" t="str">
        <f>HYPERLINK("https://patentscout.innography.com/share/ewTqzLA0P8nqNyKf_sYhsQ%3D%3D/download", "Download PDF")</f>
        <v>Download PDF</v>
      </c>
      <c r="BH144" s="2" t="s">
        <v>3397</v>
      </c>
      <c r="BI144" s="2"/>
      <c r="BJ144" s="2" t="s">
        <v>3392</v>
      </c>
      <c r="BK144" s="2" t="s">
        <v>3392</v>
      </c>
      <c r="BL144" s="2" t="s">
        <v>3392</v>
      </c>
      <c r="BM144" s="2"/>
      <c r="BN144" s="2"/>
      <c r="BO144" s="2"/>
      <c r="BP144" s="2"/>
      <c r="BQ144" s="2"/>
      <c r="BR144" s="2"/>
      <c r="BS144" s="2"/>
      <c r="BT144" s="2"/>
      <c r="BU144" s="2"/>
      <c r="BV144" s="2" t="s">
        <v>3398</v>
      </c>
      <c r="BW144" s="2"/>
      <c r="BX144" s="2"/>
      <c r="BY144" s="2"/>
      <c r="BZ144" s="2"/>
      <c r="CA144" s="2"/>
      <c r="CB144" s="2"/>
      <c r="CC144" s="2" t="s">
        <v>228</v>
      </c>
      <c r="CD144" s="2" t="str">
        <f>HYPERLINK("https://patentscout.innography.com/share/ewTqzLA0P8nqNyKf_sYhsQ%3D%3D", "Innography Link")</f>
        <v>Innography Link</v>
      </c>
      <c r="CE144" s="2"/>
      <c r="CF144" s="2"/>
      <c r="CG144" s="2"/>
      <c r="CH144" s="2"/>
      <c r="CI144" s="2"/>
      <c r="CK144" s="2" t="s">
        <v>3399</v>
      </c>
    </row>
    <row r="145" spans="1:106" ht="152" customHeight="1" x14ac:dyDescent="0.45">
      <c r="A145" s="2">
        <v>0</v>
      </c>
      <c r="B145" s="2">
        <v>0</v>
      </c>
      <c r="C145" s="2"/>
      <c r="D145" s="2"/>
      <c r="E145" s="2" t="s">
        <v>1098</v>
      </c>
      <c r="F145" s="2" t="s">
        <v>1099</v>
      </c>
      <c r="G145" s="2" t="s">
        <v>1099</v>
      </c>
      <c r="H145" s="2" t="s">
        <v>377</v>
      </c>
      <c r="I145" s="2" t="s">
        <v>1100</v>
      </c>
      <c r="J145" s="2" t="s">
        <v>3400</v>
      </c>
      <c r="K145" s="2" t="s">
        <v>375</v>
      </c>
      <c r="L145" s="2" t="s">
        <v>375</v>
      </c>
      <c r="M145" s="2" t="s">
        <v>1101</v>
      </c>
      <c r="N145" s="2" t="s">
        <v>3401</v>
      </c>
      <c r="O145" s="2"/>
      <c r="P145" s="2" t="s">
        <v>1103</v>
      </c>
      <c r="Q145" s="2" t="s">
        <v>382</v>
      </c>
      <c r="R145" s="2" t="s">
        <v>382</v>
      </c>
      <c r="S145" s="2" t="s">
        <v>1103</v>
      </c>
      <c r="T145" s="2">
        <v>86</v>
      </c>
      <c r="U145" s="2">
        <v>28</v>
      </c>
      <c r="V145" s="2" t="s">
        <v>1104</v>
      </c>
      <c r="W145" s="2"/>
      <c r="X145" s="2"/>
      <c r="Y145" s="2"/>
      <c r="Z145" s="2" t="s">
        <v>3402</v>
      </c>
      <c r="AA145" s="2" t="s">
        <v>3402</v>
      </c>
      <c r="AB145" s="2">
        <v>1</v>
      </c>
      <c r="AC145" s="2" t="s">
        <v>250</v>
      </c>
      <c r="AD145" s="2" t="s">
        <v>1433</v>
      </c>
      <c r="AE145" s="2">
        <v>222</v>
      </c>
      <c r="AF145" s="2" t="s">
        <v>141</v>
      </c>
      <c r="AG145" s="2"/>
      <c r="AH145" s="2"/>
      <c r="AI145" s="2" t="s">
        <v>1118</v>
      </c>
      <c r="AJ145" s="2"/>
      <c r="AK145" s="2" t="s">
        <v>1108</v>
      </c>
      <c r="AL145" s="2" t="s">
        <v>926</v>
      </c>
      <c r="AM145" s="2" t="s">
        <v>927</v>
      </c>
      <c r="AN145" s="2" t="s">
        <v>1109</v>
      </c>
      <c r="AO145" s="2" t="s">
        <v>3403</v>
      </c>
      <c r="AP145" s="2">
        <v>345540000</v>
      </c>
      <c r="AQ145" s="2">
        <v>345540000</v>
      </c>
      <c r="AR145" s="2" t="s">
        <v>146</v>
      </c>
      <c r="AS145" s="2">
        <v>40845572</v>
      </c>
      <c r="AT145" s="2" t="s">
        <v>930</v>
      </c>
      <c r="AU145" s="2"/>
      <c r="AV145" s="2"/>
      <c r="AW145" s="2" t="s">
        <v>3404</v>
      </c>
      <c r="AX145" s="2">
        <v>91387925</v>
      </c>
      <c r="AY145" s="2" t="s">
        <v>932</v>
      </c>
      <c r="AZ145" s="2" t="s">
        <v>1112</v>
      </c>
      <c r="BA145" s="2" t="s">
        <v>3405</v>
      </c>
      <c r="BB145" s="2">
        <v>0</v>
      </c>
      <c r="BC145" s="3" t="str">
        <f>HYPERLINK("https://patentscout.innography.com/share/-SxBIutECc5OU9duZYKh4g%3D%3D","JP5731101")</f>
        <v>JP5731101</v>
      </c>
      <c r="BD145" s="2" t="s">
        <v>3406</v>
      </c>
      <c r="BE145" s="2" t="s">
        <v>1115</v>
      </c>
      <c r="BF145" s="2" t="s">
        <v>3407</v>
      </c>
      <c r="BG145" s="2" t="str">
        <f>HYPERLINK("https://patentscout.innography.com/share/-SxBIutECc5OU9duZYKh4g%3D%3D/download", "Download PDF")</f>
        <v>Download PDF</v>
      </c>
      <c r="BH145" s="2" t="s">
        <v>3408</v>
      </c>
      <c r="BI145" s="2"/>
      <c r="BJ145" s="2" t="s">
        <v>1118</v>
      </c>
      <c r="BK145" s="2" t="s">
        <v>925</v>
      </c>
      <c r="BL145" s="2" t="s">
        <v>925</v>
      </c>
      <c r="BM145" s="2"/>
      <c r="BN145" s="2"/>
      <c r="BO145" s="2"/>
      <c r="BP145" s="2"/>
      <c r="BQ145" s="2"/>
      <c r="BR145" s="2"/>
      <c r="BS145" s="2"/>
      <c r="BT145" s="2"/>
      <c r="BU145" s="2"/>
      <c r="BV145" s="2" t="s">
        <v>3409</v>
      </c>
      <c r="BW145" s="2"/>
      <c r="BX145" s="2"/>
      <c r="BY145" s="2"/>
      <c r="BZ145" s="2"/>
      <c r="CA145" s="2"/>
      <c r="CB145" s="2"/>
      <c r="CC145" s="2" t="s">
        <v>1971</v>
      </c>
      <c r="CD145" s="2" t="str">
        <f>HYPERLINK("https://patentscout.innography.com/share/-SxBIutECc5OU9duZYKh4g%3D%3D", "Innography Link")</f>
        <v>Innography Link</v>
      </c>
      <c r="CE145" s="2"/>
      <c r="CF145" s="2"/>
      <c r="CG145" s="2"/>
      <c r="CH145" s="2"/>
      <c r="CI145" s="2"/>
      <c r="CK145" s="2" t="s">
        <v>3410</v>
      </c>
    </row>
    <row r="146" spans="1:106" ht="152" customHeight="1" x14ac:dyDescent="0.45">
      <c r="A146" s="2">
        <v>1</v>
      </c>
      <c r="B146" s="2">
        <v>0</v>
      </c>
      <c r="C146" s="2"/>
      <c r="D146" s="2" t="s">
        <v>3411</v>
      </c>
      <c r="E146" s="2" t="s">
        <v>3412</v>
      </c>
      <c r="F146" s="2"/>
      <c r="G146" s="2" t="s">
        <v>3412</v>
      </c>
      <c r="H146" s="2" t="s">
        <v>377</v>
      </c>
      <c r="I146" s="2" t="s">
        <v>1100</v>
      </c>
      <c r="J146" s="2" t="s">
        <v>3413</v>
      </c>
      <c r="K146" s="2" t="s">
        <v>375</v>
      </c>
      <c r="L146" s="2" t="s">
        <v>375</v>
      </c>
      <c r="M146" s="2" t="s">
        <v>919</v>
      </c>
      <c r="N146" s="2" t="s">
        <v>920</v>
      </c>
      <c r="O146" s="2"/>
      <c r="P146" s="2" t="s">
        <v>3414</v>
      </c>
      <c r="Q146" s="2" t="s">
        <v>382</v>
      </c>
      <c r="R146" s="2" t="s">
        <v>3415</v>
      </c>
      <c r="S146" s="2" t="s">
        <v>3414</v>
      </c>
      <c r="T146" s="2">
        <v>86</v>
      </c>
      <c r="U146" s="2">
        <v>17</v>
      </c>
      <c r="V146" s="2" t="s">
        <v>3416</v>
      </c>
      <c r="W146" s="2"/>
      <c r="X146" s="2"/>
      <c r="Y146" s="2"/>
      <c r="Z146" s="2" t="s">
        <v>3417</v>
      </c>
      <c r="AA146" s="2" t="s">
        <v>3418</v>
      </c>
      <c r="AB146" s="2">
        <v>25</v>
      </c>
      <c r="AC146" s="2" t="s">
        <v>214</v>
      </c>
      <c r="AD146" s="2" t="s">
        <v>3419</v>
      </c>
      <c r="AE146" s="2">
        <v>94</v>
      </c>
      <c r="AF146" s="2" t="s">
        <v>180</v>
      </c>
      <c r="AG146" s="2"/>
      <c r="AH146" s="2"/>
      <c r="AI146" s="2"/>
      <c r="AJ146" s="2"/>
      <c r="AK146" s="2" t="s">
        <v>1816</v>
      </c>
      <c r="AL146" s="2" t="s">
        <v>926</v>
      </c>
      <c r="AM146" s="2" t="s">
        <v>927</v>
      </c>
      <c r="AN146" s="2" t="s">
        <v>3420</v>
      </c>
      <c r="AO146" s="2" t="s">
        <v>3420</v>
      </c>
      <c r="AP146" s="2">
        <v>194218000</v>
      </c>
      <c r="AQ146" s="2">
        <v>194218000</v>
      </c>
      <c r="AR146" s="2" t="s">
        <v>541</v>
      </c>
      <c r="AS146" s="2">
        <v>40845572</v>
      </c>
      <c r="AT146" s="2" t="s">
        <v>930</v>
      </c>
      <c r="AU146" s="2"/>
      <c r="AV146" s="2"/>
      <c r="AW146" s="2" t="s">
        <v>1821</v>
      </c>
      <c r="AX146" s="2">
        <v>91387925</v>
      </c>
      <c r="AY146" s="2" t="s">
        <v>932</v>
      </c>
      <c r="AZ146" s="2" t="s">
        <v>3421</v>
      </c>
      <c r="BA146" s="2" t="s">
        <v>255</v>
      </c>
      <c r="BB146" s="2">
        <v>0</v>
      </c>
      <c r="BC146" s="3" t="str">
        <f>HYPERLINK("https://patentscout.innography.com/share/Dwg45BYQs65Qgf3zXStH5w%3D%3D","CN101482900")</f>
        <v>CN101482900</v>
      </c>
      <c r="BD146" s="2" t="s">
        <v>3422</v>
      </c>
      <c r="BE146" s="2" t="s">
        <v>3423</v>
      </c>
      <c r="BF146" s="2" t="s">
        <v>3424</v>
      </c>
      <c r="BG146" s="2" t="str">
        <f>HYPERLINK("https://patentscout.innography.com/share/Dwg45BYQs65Qgf3zXStH5w%3D%3D/download", "Download PDF")</f>
        <v>Download PDF</v>
      </c>
      <c r="BH146" s="2" t="s">
        <v>3425</v>
      </c>
      <c r="BI146" s="2"/>
      <c r="BJ146" s="2" t="s">
        <v>3426</v>
      </c>
      <c r="BK146" s="2" t="s">
        <v>925</v>
      </c>
      <c r="BL146" s="2" t="s">
        <v>925</v>
      </c>
      <c r="BM146" s="2"/>
      <c r="BN146" s="2"/>
      <c r="BO146" s="2"/>
      <c r="BP146" s="2"/>
      <c r="BQ146" s="2"/>
      <c r="BR146" s="2"/>
      <c r="BS146" s="2"/>
      <c r="BT146" s="2"/>
      <c r="BU146" s="2" t="s">
        <v>3427</v>
      </c>
      <c r="BV146" s="2" t="s">
        <v>3428</v>
      </c>
      <c r="BW146" s="2"/>
      <c r="BX146" s="2"/>
      <c r="BY146" s="2"/>
      <c r="BZ146" s="2"/>
      <c r="CA146" s="2"/>
      <c r="CB146" s="2"/>
      <c r="CC146" s="2" t="s">
        <v>1829</v>
      </c>
      <c r="CD146" s="2" t="str">
        <f>HYPERLINK("https://patentscout.innography.com/share/Dwg45BYQs65Qgf3zXStH5w%3D%3D", "Innography Link")</f>
        <v>Innography Link</v>
      </c>
      <c r="CE146" s="2"/>
      <c r="CF146" s="2"/>
      <c r="CG146" s="2"/>
      <c r="CH146" s="2"/>
      <c r="CI146" s="2"/>
      <c r="CK146" s="2" t="s">
        <v>3429</v>
      </c>
      <c r="CL146" s="2" t="s">
        <v>3430</v>
      </c>
      <c r="CM146" s="2" t="s">
        <v>3431</v>
      </c>
      <c r="CN146" s="2" t="s">
        <v>3432</v>
      </c>
      <c r="CO146" s="2" t="s">
        <v>3433</v>
      </c>
    </row>
    <row r="147" spans="1:106" ht="152" customHeight="1" x14ac:dyDescent="0.45">
      <c r="A147" s="2">
        <v>0</v>
      </c>
      <c r="B147" s="2">
        <v>0</v>
      </c>
      <c r="C147" s="2"/>
      <c r="D147" s="2"/>
      <c r="E147" s="2" t="s">
        <v>2697</v>
      </c>
      <c r="F147" s="2"/>
      <c r="G147" s="2" t="s">
        <v>2697</v>
      </c>
      <c r="H147" s="2" t="s">
        <v>1318</v>
      </c>
      <c r="I147" s="2" t="s">
        <v>2768</v>
      </c>
      <c r="J147" s="2" t="s">
        <v>3434</v>
      </c>
      <c r="K147" s="2" t="s">
        <v>2697</v>
      </c>
      <c r="L147" s="2" t="s">
        <v>2697</v>
      </c>
      <c r="M147" s="2" t="s">
        <v>3435</v>
      </c>
      <c r="N147" s="2" t="s">
        <v>3436</v>
      </c>
      <c r="O147" s="2"/>
      <c r="P147" s="2" t="s">
        <v>3437</v>
      </c>
      <c r="Q147" s="2" t="s">
        <v>3437</v>
      </c>
      <c r="R147" s="2" t="s">
        <v>3438</v>
      </c>
      <c r="S147" s="2" t="s">
        <v>3437</v>
      </c>
      <c r="T147" s="2">
        <v>86</v>
      </c>
      <c r="U147" s="2">
        <v>7</v>
      </c>
      <c r="V147" s="2" t="s">
        <v>3439</v>
      </c>
      <c r="W147" s="2"/>
      <c r="X147" s="2"/>
      <c r="Y147" s="2"/>
      <c r="Z147" s="2" t="s">
        <v>3440</v>
      </c>
      <c r="AA147" s="2" t="s">
        <v>3441</v>
      </c>
      <c r="AB147" s="2">
        <v>9</v>
      </c>
      <c r="AC147" s="2" t="s">
        <v>214</v>
      </c>
      <c r="AD147" s="2" t="s">
        <v>3442</v>
      </c>
      <c r="AE147" s="2">
        <v>167</v>
      </c>
      <c r="AF147" s="2" t="s">
        <v>141</v>
      </c>
      <c r="AG147" s="2"/>
      <c r="AH147" s="2"/>
      <c r="AI147" s="2"/>
      <c r="AJ147" s="2"/>
      <c r="AK147" s="2" t="s">
        <v>1816</v>
      </c>
      <c r="AL147" s="2" t="s">
        <v>271</v>
      </c>
      <c r="AM147" s="2" t="s">
        <v>3443</v>
      </c>
      <c r="AN147" s="2" t="s">
        <v>1035</v>
      </c>
      <c r="AO147" s="2" t="s">
        <v>3444</v>
      </c>
      <c r="AP147" s="2">
        <v>715701000</v>
      </c>
      <c r="AQ147" s="2">
        <v>715701000</v>
      </c>
      <c r="AR147" s="2" t="s">
        <v>253</v>
      </c>
      <c r="AS147" s="2">
        <v>82963229</v>
      </c>
      <c r="AT147" s="2" t="s">
        <v>3445</v>
      </c>
      <c r="AU147" s="2"/>
      <c r="AV147" s="2"/>
      <c r="AW147" s="2" t="s">
        <v>1821</v>
      </c>
      <c r="AX147" s="2">
        <v>89789052</v>
      </c>
      <c r="AY147" s="2" t="s">
        <v>3446</v>
      </c>
      <c r="AZ147" s="2" t="s">
        <v>3447</v>
      </c>
      <c r="BA147" s="2" t="s">
        <v>3448</v>
      </c>
      <c r="BB147" s="2">
        <v>0</v>
      </c>
      <c r="BC147" s="3" t="str">
        <f>HYPERLINK("https://patentscout.innography.com/share/_on5k3uKliJhBiwJ-gXWFQ%3D%3D","CN114967932")</f>
        <v>CN114967932</v>
      </c>
      <c r="BD147" s="2" t="s">
        <v>3449</v>
      </c>
      <c r="BE147" s="2" t="s">
        <v>3450</v>
      </c>
      <c r="BF147" s="2" t="s">
        <v>3451</v>
      </c>
      <c r="BG147" s="2" t="str">
        <f>HYPERLINK("https://patentscout.innography.com/share/_on5k3uKliJhBiwJ-gXWFQ%3D%3D/download", "Download PDF")</f>
        <v>Download PDF</v>
      </c>
      <c r="BH147" s="2" t="s">
        <v>3452</v>
      </c>
      <c r="BI147" s="2"/>
      <c r="BJ147" s="2" t="s">
        <v>3446</v>
      </c>
      <c r="BK147" s="2" t="s">
        <v>3446</v>
      </c>
      <c r="BL147" s="2" t="s">
        <v>3446</v>
      </c>
      <c r="BM147" s="2"/>
      <c r="BN147" s="2"/>
      <c r="BO147" s="2"/>
      <c r="BP147" s="2"/>
      <c r="BQ147" s="2"/>
      <c r="BR147" s="2"/>
      <c r="BS147" s="2"/>
      <c r="BT147" s="2"/>
      <c r="BU147" s="2"/>
      <c r="BV147" s="2"/>
      <c r="BW147" s="2"/>
      <c r="BX147" s="2"/>
      <c r="BY147" s="2"/>
      <c r="BZ147" s="2"/>
      <c r="CA147" s="2"/>
      <c r="CB147" s="2"/>
      <c r="CC147" s="2" t="s">
        <v>1829</v>
      </c>
      <c r="CD147" s="2" t="str">
        <f>HYPERLINK("https://patentscout.innography.com/share/_on5k3uKliJhBiwJ-gXWFQ%3D%3D", "Innography Link")</f>
        <v>Innography Link</v>
      </c>
      <c r="CE147" s="2"/>
      <c r="CF147" s="2"/>
      <c r="CG147" s="2"/>
      <c r="CH147" s="2"/>
      <c r="CI147" s="2"/>
      <c r="CK147" s="2" t="s">
        <v>3453</v>
      </c>
    </row>
    <row r="148" spans="1:106" ht="152" customHeight="1" x14ac:dyDescent="0.45">
      <c r="A148" s="2">
        <v>0</v>
      </c>
      <c r="B148" s="2">
        <v>9</v>
      </c>
      <c r="C148" s="2" t="s">
        <v>3454</v>
      </c>
      <c r="D148" s="2"/>
      <c r="E148" s="2"/>
      <c r="F148" s="2" t="s">
        <v>1915</v>
      </c>
      <c r="G148" s="2" t="s">
        <v>1915</v>
      </c>
      <c r="H148" s="2" t="s">
        <v>3455</v>
      </c>
      <c r="I148" s="2" t="s">
        <v>3455</v>
      </c>
      <c r="J148" s="2" t="s">
        <v>3456</v>
      </c>
      <c r="K148" s="2" t="s">
        <v>1915</v>
      </c>
      <c r="L148" s="2" t="s">
        <v>1915</v>
      </c>
      <c r="M148" s="2" t="s">
        <v>3457</v>
      </c>
      <c r="N148" s="2" t="s">
        <v>3458</v>
      </c>
      <c r="O148" s="2"/>
      <c r="P148" s="2"/>
      <c r="Q148" s="2"/>
      <c r="R148" s="2"/>
      <c r="S148" s="2"/>
      <c r="T148" s="2">
        <v>86</v>
      </c>
      <c r="U148" s="2">
        <v>5</v>
      </c>
      <c r="V148" s="2" t="s">
        <v>3459</v>
      </c>
      <c r="W148" s="2"/>
      <c r="X148" s="2"/>
      <c r="Y148" s="2"/>
      <c r="Z148" s="2" t="s">
        <v>3460</v>
      </c>
      <c r="AA148" s="2" t="s">
        <v>3461</v>
      </c>
      <c r="AB148" s="2">
        <v>3</v>
      </c>
      <c r="AC148" s="2" t="s">
        <v>235</v>
      </c>
      <c r="AD148" s="2"/>
      <c r="AE148" s="2">
        <v>573</v>
      </c>
      <c r="AF148" s="2" t="s">
        <v>141</v>
      </c>
      <c r="AG148" s="2"/>
      <c r="AH148" s="2"/>
      <c r="AI148" s="2"/>
      <c r="AJ148" s="2"/>
      <c r="AK148" s="2" t="s">
        <v>217</v>
      </c>
      <c r="AL148" s="2" t="s">
        <v>510</v>
      </c>
      <c r="AM148" s="2" t="s">
        <v>510</v>
      </c>
      <c r="AN148" s="2" t="s">
        <v>512</v>
      </c>
      <c r="AO148" s="2" t="s">
        <v>3462</v>
      </c>
      <c r="AP148" s="2">
        <v>705348000</v>
      </c>
      <c r="AQ148" s="2">
        <v>705348000</v>
      </c>
      <c r="AR148" s="2" t="s">
        <v>253</v>
      </c>
      <c r="AS148" s="2">
        <v>84437065</v>
      </c>
      <c r="AT148" s="2" t="s">
        <v>3463</v>
      </c>
      <c r="AU148" s="2"/>
      <c r="AV148" s="2"/>
      <c r="AW148" s="2" t="s">
        <v>336</v>
      </c>
      <c r="AX148" s="2">
        <v>93049371</v>
      </c>
      <c r="AY148" s="2" t="s">
        <v>3464</v>
      </c>
      <c r="AZ148" s="2" t="s">
        <v>3465</v>
      </c>
      <c r="BA148" s="2" t="s">
        <v>3466</v>
      </c>
      <c r="BB148" s="2">
        <v>0</v>
      </c>
      <c r="BC148" s="3" t="str">
        <f>HYPERLINK("https://patentscout.innography.com/share/-czwAYlDeJvw_3M5D7Z_2A%3D%3D","KR102475819")</f>
        <v>KR102475819</v>
      </c>
      <c r="BD148" s="2" t="s">
        <v>3467</v>
      </c>
      <c r="BE148" s="2" t="s">
        <v>3468</v>
      </c>
      <c r="BF148" s="2" t="s">
        <v>3469</v>
      </c>
      <c r="BG148" s="2" t="str">
        <f>HYPERLINK("https://patentscout.innography.com/share/-czwAYlDeJvw_3M5D7Z_2A%3D%3D/download", "Download PDF")</f>
        <v>Download PDF</v>
      </c>
      <c r="BH148" s="2" t="s">
        <v>3470</v>
      </c>
      <c r="BI148" s="2"/>
      <c r="BJ148" s="2" t="s">
        <v>3471</v>
      </c>
      <c r="BK148" s="2" t="s">
        <v>3471</v>
      </c>
      <c r="BL148" s="2" t="s">
        <v>3471</v>
      </c>
      <c r="BM148" s="2"/>
      <c r="BN148" s="2"/>
      <c r="BO148" s="2"/>
      <c r="BP148" s="2"/>
      <c r="BQ148" s="2"/>
      <c r="BR148" s="2"/>
      <c r="BS148" s="2"/>
      <c r="BT148" s="2"/>
      <c r="BU148" s="2"/>
      <c r="BV148" s="2"/>
      <c r="BW148" s="2"/>
      <c r="BX148" s="2"/>
      <c r="BY148" s="2"/>
      <c r="BZ148" s="2"/>
      <c r="CA148" s="2"/>
      <c r="CB148" s="2"/>
      <c r="CC148" s="2" t="s">
        <v>243</v>
      </c>
      <c r="CD148" s="2" t="str">
        <f>HYPERLINK("https://patentscout.innography.com/share/-czwAYlDeJvw_3M5D7Z_2A%3D%3D", "Innography Link")</f>
        <v>Innography Link</v>
      </c>
      <c r="CE148" s="2"/>
      <c r="CF148" s="2"/>
      <c r="CG148" s="2"/>
      <c r="CH148" s="2"/>
      <c r="CI148" s="2"/>
      <c r="CK148" s="2" t="s">
        <v>3472</v>
      </c>
      <c r="CL148" s="2" t="s">
        <v>780</v>
      </c>
      <c r="CM148" s="2" t="s">
        <v>444</v>
      </c>
    </row>
    <row r="149" spans="1:106" ht="152" customHeight="1" x14ac:dyDescent="0.45">
      <c r="A149" s="2">
        <v>0</v>
      </c>
      <c r="B149" s="2">
        <v>0</v>
      </c>
      <c r="C149" s="2"/>
      <c r="D149" s="2"/>
      <c r="E149" s="2" t="s">
        <v>3473</v>
      </c>
      <c r="F149" s="2"/>
      <c r="G149" s="2" t="s">
        <v>3473</v>
      </c>
      <c r="H149" s="2" t="s">
        <v>2143</v>
      </c>
      <c r="I149" s="2" t="s">
        <v>2143</v>
      </c>
      <c r="J149" s="2" t="s">
        <v>3474</v>
      </c>
      <c r="K149" s="2" t="s">
        <v>3473</v>
      </c>
      <c r="L149" s="2" t="s">
        <v>3473</v>
      </c>
      <c r="M149" s="2" t="s">
        <v>3475</v>
      </c>
      <c r="N149" s="2" t="s">
        <v>3476</v>
      </c>
      <c r="O149" s="2"/>
      <c r="P149" s="2"/>
      <c r="Q149" s="2"/>
      <c r="R149" s="2"/>
      <c r="S149" s="2"/>
      <c r="T149" s="2">
        <v>86</v>
      </c>
      <c r="U149" s="2">
        <v>7</v>
      </c>
      <c r="V149" s="2" t="s">
        <v>3477</v>
      </c>
      <c r="W149" s="2"/>
      <c r="X149" s="2"/>
      <c r="Y149" s="2"/>
      <c r="Z149" s="2" t="s">
        <v>3478</v>
      </c>
      <c r="AA149" s="2" t="s">
        <v>3479</v>
      </c>
      <c r="AB149" s="2">
        <v>10</v>
      </c>
      <c r="AC149" s="2" t="s">
        <v>214</v>
      </c>
      <c r="AD149" s="2"/>
      <c r="AE149" s="2">
        <v>364</v>
      </c>
      <c r="AF149" s="2" t="s">
        <v>141</v>
      </c>
      <c r="AG149" s="2"/>
      <c r="AH149" s="2"/>
      <c r="AI149" s="2"/>
      <c r="AJ149" s="2"/>
      <c r="AK149" s="2" t="s">
        <v>1816</v>
      </c>
      <c r="AL149" s="2" t="s">
        <v>298</v>
      </c>
      <c r="AM149" s="2" t="s">
        <v>298</v>
      </c>
      <c r="AN149" s="2" t="s">
        <v>359</v>
      </c>
      <c r="AO149" s="2" t="s">
        <v>3480</v>
      </c>
      <c r="AP149" s="2">
        <v>705348000</v>
      </c>
      <c r="AQ149" s="2">
        <v>705348000</v>
      </c>
      <c r="AR149" s="2" t="s">
        <v>253</v>
      </c>
      <c r="AS149" s="2">
        <v>84032166</v>
      </c>
      <c r="AT149" s="2" t="s">
        <v>3481</v>
      </c>
      <c r="AU149" s="2"/>
      <c r="AV149" s="2"/>
      <c r="AW149" s="2" t="s">
        <v>1821</v>
      </c>
      <c r="AX149" s="2">
        <v>92536763</v>
      </c>
      <c r="AY149" s="2" t="s">
        <v>3482</v>
      </c>
      <c r="AZ149" s="2" t="s">
        <v>3483</v>
      </c>
      <c r="BA149" s="2" t="s">
        <v>3484</v>
      </c>
      <c r="BB149" s="2">
        <v>0</v>
      </c>
      <c r="BC149" s="3" t="str">
        <f>HYPERLINK("https://patentscout.innography.com/share/GE7MRqnU2xrQ0-arHDpNZA%3D%3D","CN115358892")</f>
        <v>CN115358892</v>
      </c>
      <c r="BD149" s="2" t="s">
        <v>3485</v>
      </c>
      <c r="BE149" s="2" t="s">
        <v>3486</v>
      </c>
      <c r="BF149" s="2" t="s">
        <v>3487</v>
      </c>
      <c r="BG149" s="2" t="str">
        <f>HYPERLINK("https://patentscout.innography.com/share/GE7MRqnU2xrQ0-arHDpNZA%3D%3D/download", "Download PDF")</f>
        <v>Download PDF</v>
      </c>
      <c r="BH149" s="2" t="s">
        <v>3488</v>
      </c>
      <c r="BI149" s="2"/>
      <c r="BJ149" s="2" t="s">
        <v>3482</v>
      </c>
      <c r="BK149" s="2" t="s">
        <v>3482</v>
      </c>
      <c r="BL149" s="2" t="s">
        <v>3482</v>
      </c>
      <c r="BM149" s="2"/>
      <c r="BN149" s="2"/>
      <c r="BO149" s="2"/>
      <c r="BP149" s="2"/>
      <c r="BQ149" s="2"/>
      <c r="BR149" s="2"/>
      <c r="BS149" s="2"/>
      <c r="BT149" s="2"/>
      <c r="BU149" s="2"/>
      <c r="BV149" s="2"/>
      <c r="BW149" s="2"/>
      <c r="BX149" s="2"/>
      <c r="BY149" s="2"/>
      <c r="BZ149" s="2"/>
      <c r="CA149" s="2"/>
      <c r="CB149" s="2"/>
      <c r="CC149" s="2" t="s">
        <v>1829</v>
      </c>
      <c r="CD149" s="2" t="str">
        <f>HYPERLINK("https://patentscout.innography.com/share/GE7MRqnU2xrQ0-arHDpNZA%3D%3D", "Innography Link")</f>
        <v>Innography Link</v>
      </c>
      <c r="CE149" s="2"/>
      <c r="CF149" s="2"/>
      <c r="CG149" s="2"/>
      <c r="CH149" s="2"/>
      <c r="CI149" s="2"/>
      <c r="CK149" s="2" t="s">
        <v>3489</v>
      </c>
    </row>
    <row r="150" spans="1:106" ht="152" customHeight="1" x14ac:dyDescent="0.45">
      <c r="A150" s="2">
        <v>0</v>
      </c>
      <c r="B150" s="2">
        <v>0</v>
      </c>
      <c r="C150" s="2"/>
      <c r="D150" s="2"/>
      <c r="E150" s="2" t="s">
        <v>1246</v>
      </c>
      <c r="F150" s="2"/>
      <c r="G150" s="2" t="s">
        <v>1246</v>
      </c>
      <c r="H150" s="2" t="s">
        <v>3262</v>
      </c>
      <c r="I150" s="2" t="s">
        <v>3262</v>
      </c>
      <c r="J150" s="2" t="s">
        <v>3263</v>
      </c>
      <c r="K150" s="2" t="s">
        <v>1246</v>
      </c>
      <c r="L150" s="2" t="s">
        <v>1246</v>
      </c>
      <c r="M150" s="2" t="s">
        <v>3490</v>
      </c>
      <c r="N150" s="2" t="s">
        <v>3491</v>
      </c>
      <c r="O150" s="2"/>
      <c r="P150" s="2" t="s">
        <v>3266</v>
      </c>
      <c r="Q150" s="2"/>
      <c r="R150" s="2"/>
      <c r="S150" s="2" t="s">
        <v>3266</v>
      </c>
      <c r="T150" s="2">
        <v>86</v>
      </c>
      <c r="U150" s="2">
        <v>6</v>
      </c>
      <c r="V150" s="2" t="s">
        <v>3492</v>
      </c>
      <c r="W150" s="2"/>
      <c r="X150" s="2"/>
      <c r="Y150" s="2"/>
      <c r="Z150" s="2" t="s">
        <v>3493</v>
      </c>
      <c r="AA150" s="2" t="s">
        <v>3494</v>
      </c>
      <c r="AB150" s="2">
        <v>2</v>
      </c>
      <c r="AC150" s="2" t="s">
        <v>214</v>
      </c>
      <c r="AD150" s="2" t="s">
        <v>3266</v>
      </c>
      <c r="AE150" s="2">
        <v>118</v>
      </c>
      <c r="AF150" s="2" t="s">
        <v>141</v>
      </c>
      <c r="AG150" s="2"/>
      <c r="AH150" s="2"/>
      <c r="AI150" s="2"/>
      <c r="AJ150" s="2"/>
      <c r="AK150" s="2" t="s">
        <v>217</v>
      </c>
      <c r="AL150" s="2" t="s">
        <v>3495</v>
      </c>
      <c r="AM150" s="2" t="s">
        <v>3496</v>
      </c>
      <c r="AN150" s="2" t="s">
        <v>539</v>
      </c>
      <c r="AO150" s="2" t="s">
        <v>3497</v>
      </c>
      <c r="AP150" s="2">
        <v>705348000</v>
      </c>
      <c r="AQ150" s="2">
        <v>705348000</v>
      </c>
      <c r="AR150" s="2" t="s">
        <v>253</v>
      </c>
      <c r="AS150" s="2">
        <v>84235189</v>
      </c>
      <c r="AT150" s="2" t="s">
        <v>3498</v>
      </c>
      <c r="AU150" s="2"/>
      <c r="AV150" s="2"/>
      <c r="AW150" s="2" t="s">
        <v>219</v>
      </c>
      <c r="AX150" s="2">
        <v>92812666</v>
      </c>
      <c r="AY150" s="2" t="s">
        <v>3499</v>
      </c>
      <c r="AZ150" s="2" t="s">
        <v>3500</v>
      </c>
      <c r="BA150" s="2" t="s">
        <v>3277</v>
      </c>
      <c r="BB150" s="2">
        <v>0</v>
      </c>
      <c r="BC150" s="3" t="str">
        <f>HYPERLINK("https://patentscout.innography.com/share/X5gWevS5DZb2LY0Ew5eWTg%3D%3D","KR20220157005")</f>
        <v>KR20220157005</v>
      </c>
      <c r="BD150" s="2" t="s">
        <v>3501</v>
      </c>
      <c r="BE150" s="2" t="s">
        <v>3502</v>
      </c>
      <c r="BF150" s="2" t="s">
        <v>3503</v>
      </c>
      <c r="BG150" s="2" t="str">
        <f>HYPERLINK("https://patentscout.innography.com/share/X5gWevS5DZb2LY0Ew5eWTg%3D%3D/download", "Download PDF")</f>
        <v>Download PDF</v>
      </c>
      <c r="BH150" s="2" t="s">
        <v>3504</v>
      </c>
      <c r="BI150" s="2"/>
      <c r="BJ150" s="2" t="s">
        <v>3499</v>
      </c>
      <c r="BK150" s="2" t="s">
        <v>3499</v>
      </c>
      <c r="BL150" s="2" t="s">
        <v>3499</v>
      </c>
      <c r="BM150" s="2"/>
      <c r="BN150" s="2"/>
      <c r="BO150" s="2"/>
      <c r="BP150" s="2"/>
      <c r="BQ150" s="2"/>
      <c r="BR150" s="2"/>
      <c r="BS150" s="2"/>
      <c r="BT150" s="2"/>
      <c r="BU150" s="2"/>
      <c r="BV150" s="2"/>
      <c r="BW150" s="2"/>
      <c r="BX150" s="2"/>
      <c r="BY150" s="2"/>
      <c r="BZ150" s="2"/>
      <c r="CA150" s="2"/>
      <c r="CB150" s="2"/>
      <c r="CC150" s="2" t="s">
        <v>228</v>
      </c>
      <c r="CD150" s="2" t="str">
        <f>HYPERLINK("https://patentscout.innography.com/share/X5gWevS5DZb2LY0Ew5eWTg%3D%3D", "Innography Link")</f>
        <v>Innography Link</v>
      </c>
      <c r="CE150" s="2"/>
      <c r="CF150" s="2"/>
      <c r="CG150" s="2"/>
      <c r="CH150" s="2"/>
      <c r="CI150" s="2"/>
      <c r="CK150" s="2" t="s">
        <v>3505</v>
      </c>
    </row>
    <row r="151" spans="1:106" ht="30" customHeight="1" x14ac:dyDescent="0.45">
      <c r="A151" s="2">
        <v>0</v>
      </c>
      <c r="B151" s="2">
        <v>0</v>
      </c>
      <c r="C151" s="2"/>
      <c r="D151" s="2"/>
      <c r="E151" s="2" t="s">
        <v>832</v>
      </c>
      <c r="F151" s="2"/>
      <c r="G151" s="2" t="s">
        <v>832</v>
      </c>
      <c r="H151" s="2" t="s">
        <v>2233</v>
      </c>
      <c r="I151" s="2" t="s">
        <v>2233</v>
      </c>
      <c r="J151" s="2" t="s">
        <v>2512</v>
      </c>
      <c r="K151" s="2" t="s">
        <v>832</v>
      </c>
      <c r="L151" s="2" t="s">
        <v>832</v>
      </c>
      <c r="M151" s="2" t="s">
        <v>3506</v>
      </c>
      <c r="N151" s="2" t="s">
        <v>3507</v>
      </c>
      <c r="O151" s="2"/>
      <c r="P151" s="2" t="s">
        <v>3508</v>
      </c>
      <c r="Q151" s="2" t="s">
        <v>3508</v>
      </c>
      <c r="R151" s="2" t="s">
        <v>3509</v>
      </c>
      <c r="S151" s="2" t="s">
        <v>3508</v>
      </c>
      <c r="T151" s="2">
        <v>85</v>
      </c>
      <c r="U151" s="2">
        <v>6</v>
      </c>
      <c r="V151" s="2" t="s">
        <v>3510</v>
      </c>
      <c r="W151" s="2"/>
      <c r="X151" s="2"/>
      <c r="Y151" s="2"/>
      <c r="Z151" s="2" t="s">
        <v>3511</v>
      </c>
      <c r="AA151" s="2" t="s">
        <v>3512</v>
      </c>
      <c r="AB151" s="2">
        <v>6</v>
      </c>
      <c r="AC151" s="2" t="s">
        <v>214</v>
      </c>
      <c r="AD151" s="2" t="s">
        <v>3513</v>
      </c>
      <c r="AE151" s="2">
        <v>75</v>
      </c>
      <c r="AF151" s="2" t="s">
        <v>141</v>
      </c>
      <c r="AG151" s="2"/>
      <c r="AH151" s="2"/>
      <c r="AI151" s="2"/>
      <c r="AJ151" s="2"/>
      <c r="AK151" s="2" t="s">
        <v>1816</v>
      </c>
      <c r="AL151" s="2" t="s">
        <v>3514</v>
      </c>
      <c r="AM151" s="2" t="s">
        <v>3515</v>
      </c>
      <c r="AN151" s="2" t="s">
        <v>2291</v>
      </c>
      <c r="AO151" s="2" t="s">
        <v>2291</v>
      </c>
      <c r="AP151" s="2">
        <v>713340000</v>
      </c>
      <c r="AQ151" s="2">
        <v>713340000</v>
      </c>
      <c r="AR151" s="2" t="s">
        <v>253</v>
      </c>
      <c r="AS151" s="2">
        <v>82235875</v>
      </c>
      <c r="AT151" s="2" t="s">
        <v>3516</v>
      </c>
      <c r="AU151" s="2"/>
      <c r="AV151" s="2"/>
      <c r="AW151" s="2" t="s">
        <v>3517</v>
      </c>
      <c r="AX151" s="2">
        <v>91985943</v>
      </c>
      <c r="AY151" s="2" t="s">
        <v>3518</v>
      </c>
      <c r="AZ151" s="2" t="s">
        <v>3519</v>
      </c>
      <c r="BA151" s="2" t="s">
        <v>2527</v>
      </c>
      <c r="BB151" s="2">
        <v>0</v>
      </c>
      <c r="BC151" s="3" t="str">
        <f>HYPERLINK("https://patentscout.innography.com/share/A6mV-ju7mBaM-vE4u7Xrzw%3D%3D","CN114722565")</f>
        <v>CN114722565</v>
      </c>
      <c r="BD151" s="2" t="s">
        <v>3520</v>
      </c>
      <c r="BE151" s="2" t="s">
        <v>3521</v>
      </c>
      <c r="BF151" s="2" t="s">
        <v>3522</v>
      </c>
      <c r="BG151" s="2" t="str">
        <f>HYPERLINK("https://patentscout.innography.com/share/A6mV-ju7mBaM-vE4u7Xrzw%3D%3D/download", "Download PDF")</f>
        <v>Download PDF</v>
      </c>
      <c r="BH151" s="2" t="s">
        <v>3523</v>
      </c>
      <c r="BI151" s="2"/>
      <c r="BJ151" s="2" t="s">
        <v>3518</v>
      </c>
      <c r="BK151" s="2" t="s">
        <v>3518</v>
      </c>
      <c r="BL151" s="2" t="s">
        <v>3518</v>
      </c>
      <c r="BM151" s="2"/>
      <c r="BN151" s="2"/>
      <c r="BO151" s="2"/>
      <c r="BP151" s="2"/>
      <c r="BQ151" s="2"/>
      <c r="BR151" s="2"/>
      <c r="BS151" s="2"/>
      <c r="BT151" s="2"/>
      <c r="BU151" s="2"/>
      <c r="BV151" s="2"/>
      <c r="BW151" s="2"/>
      <c r="BX151" s="2"/>
      <c r="BY151" s="2"/>
      <c r="BZ151" s="2"/>
      <c r="CA151" s="2"/>
      <c r="CB151" s="2"/>
      <c r="CC151" s="2" t="s">
        <v>1829</v>
      </c>
      <c r="CD151" s="2" t="str">
        <f>HYPERLINK("https://patentscout.innography.com/share/A6mV-ju7mBaM-vE4u7Xrzw%3D%3D", "Innography Link")</f>
        <v>Innography Link</v>
      </c>
      <c r="CE151" s="2"/>
      <c r="CF151" s="2"/>
      <c r="CG151" s="2"/>
      <c r="CH151" s="2"/>
      <c r="CI151" s="2"/>
      <c r="CK151" s="2" t="s">
        <v>3524</v>
      </c>
    </row>
    <row r="152" spans="1:106" ht="152" customHeight="1" x14ac:dyDescent="0.45">
      <c r="A152" s="2">
        <v>0</v>
      </c>
      <c r="B152" s="2">
        <v>0</v>
      </c>
      <c r="C152" s="2"/>
      <c r="D152" s="2"/>
      <c r="E152" s="2" t="s">
        <v>2670</v>
      </c>
      <c r="F152" s="2"/>
      <c r="G152" s="2" t="s">
        <v>2670</v>
      </c>
      <c r="H152" s="2" t="s">
        <v>2459</v>
      </c>
      <c r="I152" s="2" t="s">
        <v>2671</v>
      </c>
      <c r="J152" s="2" t="s">
        <v>2672</v>
      </c>
      <c r="K152" s="2" t="s">
        <v>2670</v>
      </c>
      <c r="L152" s="2" t="s">
        <v>2670</v>
      </c>
      <c r="M152" s="2" t="s">
        <v>2673</v>
      </c>
      <c r="N152" s="2" t="s">
        <v>2674</v>
      </c>
      <c r="O152" s="2" t="s">
        <v>3525</v>
      </c>
      <c r="P152" s="2" t="s">
        <v>2676</v>
      </c>
      <c r="Q152" s="2" t="s">
        <v>2676</v>
      </c>
      <c r="R152" s="2" t="s">
        <v>2677</v>
      </c>
      <c r="S152" s="2" t="s">
        <v>2676</v>
      </c>
      <c r="T152" s="2">
        <v>85</v>
      </c>
      <c r="U152" s="2">
        <v>3</v>
      </c>
      <c r="V152" s="2" t="s">
        <v>3526</v>
      </c>
      <c r="W152" s="2"/>
      <c r="X152" s="2"/>
      <c r="Y152" s="2"/>
      <c r="Z152" s="2" t="s">
        <v>3527</v>
      </c>
      <c r="AA152" s="2" t="s">
        <v>3527</v>
      </c>
      <c r="AB152" s="2">
        <v>1</v>
      </c>
      <c r="AC152" s="2" t="s">
        <v>214</v>
      </c>
      <c r="AD152" s="2" t="s">
        <v>2680</v>
      </c>
      <c r="AE152" s="2">
        <v>234</v>
      </c>
      <c r="AF152" s="2" t="s">
        <v>141</v>
      </c>
      <c r="AG152" s="2"/>
      <c r="AH152" s="2"/>
      <c r="AI152" s="2"/>
      <c r="AJ152" s="2"/>
      <c r="AK152" s="2" t="s">
        <v>217</v>
      </c>
      <c r="AL152" s="2" t="s">
        <v>2681</v>
      </c>
      <c r="AM152" s="2" t="s">
        <v>2682</v>
      </c>
      <c r="AN152" s="2" t="s">
        <v>717</v>
      </c>
      <c r="AO152" s="2" t="s">
        <v>2683</v>
      </c>
      <c r="AP152" s="2">
        <v>705348000</v>
      </c>
      <c r="AQ152" s="2">
        <v>705348000</v>
      </c>
      <c r="AR152" s="2" t="s">
        <v>253</v>
      </c>
      <c r="AS152" s="2">
        <v>83111276</v>
      </c>
      <c r="AT152" s="2" t="s">
        <v>2684</v>
      </c>
      <c r="AU152" s="2"/>
      <c r="AV152" s="2"/>
      <c r="AW152" s="2" t="s">
        <v>219</v>
      </c>
      <c r="AX152" s="2">
        <v>90030733</v>
      </c>
      <c r="AY152" s="2" t="s">
        <v>2685</v>
      </c>
      <c r="AZ152" s="2" t="s">
        <v>3528</v>
      </c>
      <c r="BA152" s="2" t="s">
        <v>2687</v>
      </c>
      <c r="BB152" s="2">
        <v>0</v>
      </c>
      <c r="BC152" s="3" t="str">
        <f>HYPERLINK("https://patentscout.innography.com/share/xYB056vPsUI6AVEGadi74Q%3D%3D","KR20220118363")</f>
        <v>KR20220118363</v>
      </c>
      <c r="BD152" s="2" t="s">
        <v>3529</v>
      </c>
      <c r="BE152" s="2" t="s">
        <v>2689</v>
      </c>
      <c r="BF152" s="2" t="s">
        <v>3530</v>
      </c>
      <c r="BG152" s="2" t="str">
        <f>HYPERLINK("https://patentscout.innography.com/share/xYB056vPsUI6AVEGadi74Q%3D%3D/download", "Download PDF")</f>
        <v>Download PDF</v>
      </c>
      <c r="BH152" s="2" t="s">
        <v>3531</v>
      </c>
      <c r="BI152" s="2"/>
      <c r="BJ152" s="2" t="s">
        <v>2693</v>
      </c>
      <c r="BK152" s="2" t="s">
        <v>2693</v>
      </c>
      <c r="BL152" s="2" t="s">
        <v>2694</v>
      </c>
      <c r="BM152" s="2"/>
      <c r="BN152" s="2"/>
      <c r="BO152" s="2"/>
      <c r="BP152" s="2"/>
      <c r="BQ152" s="2"/>
      <c r="BR152" s="2"/>
      <c r="BS152" s="2"/>
      <c r="BT152" s="2"/>
      <c r="BU152" s="2"/>
      <c r="BV152" s="2"/>
      <c r="BW152" s="2"/>
      <c r="BX152" s="2"/>
      <c r="BY152" s="2"/>
      <c r="BZ152" s="2"/>
      <c r="CA152" s="2"/>
      <c r="CB152" s="2"/>
      <c r="CC152" s="2" t="s">
        <v>228</v>
      </c>
      <c r="CD152" s="2" t="str">
        <f>HYPERLINK("https://patentscout.innography.com/share/xYB056vPsUI6AVEGadi74Q%3D%3D", "Innography Link")</f>
        <v>Innography Link</v>
      </c>
      <c r="CE152" s="2"/>
      <c r="CF152" s="2"/>
      <c r="CG152" s="2"/>
      <c r="CH152" s="2"/>
      <c r="CI152" s="2"/>
      <c r="CK152" s="2" t="s">
        <v>3532</v>
      </c>
    </row>
    <row r="153" spans="1:106" ht="30" customHeight="1" x14ac:dyDescent="0.45">
      <c r="A153" s="2">
        <v>0</v>
      </c>
      <c r="B153" s="2">
        <v>3</v>
      </c>
      <c r="C153" s="2" t="s">
        <v>3533</v>
      </c>
      <c r="D153" s="2"/>
      <c r="E153" s="2"/>
      <c r="F153" s="2" t="s">
        <v>3534</v>
      </c>
      <c r="G153" s="2" t="s">
        <v>3534</v>
      </c>
      <c r="H153" s="2" t="s">
        <v>1135</v>
      </c>
      <c r="I153" s="2" t="s">
        <v>1135</v>
      </c>
      <c r="J153" s="2" t="s">
        <v>2562</v>
      </c>
      <c r="K153" s="2" t="s">
        <v>3534</v>
      </c>
      <c r="L153" s="2" t="s">
        <v>3534</v>
      </c>
      <c r="M153" s="2" t="s">
        <v>3535</v>
      </c>
      <c r="N153" s="2" t="s">
        <v>3536</v>
      </c>
      <c r="O153" s="2"/>
      <c r="P153" s="2" t="s">
        <v>3537</v>
      </c>
      <c r="Q153" s="2" t="s">
        <v>3537</v>
      </c>
      <c r="R153" s="2" t="s">
        <v>3538</v>
      </c>
      <c r="S153" s="2" t="s">
        <v>3537</v>
      </c>
      <c r="T153" s="2">
        <v>85</v>
      </c>
      <c r="U153" s="2">
        <v>5</v>
      </c>
      <c r="V153" s="2" t="s">
        <v>3539</v>
      </c>
      <c r="W153" s="2"/>
      <c r="X153" s="2"/>
      <c r="Y153" s="2"/>
      <c r="Z153" s="2"/>
      <c r="AA153" s="2"/>
      <c r="AB153" s="2">
        <v>0</v>
      </c>
      <c r="AC153" s="2" t="s">
        <v>235</v>
      </c>
      <c r="AD153" s="2" t="s">
        <v>3540</v>
      </c>
      <c r="AE153" s="2">
        <v>1</v>
      </c>
      <c r="AF153" s="2" t="s">
        <v>141</v>
      </c>
      <c r="AG153" s="2"/>
      <c r="AH153" s="2"/>
      <c r="AI153" s="2"/>
      <c r="AJ153" s="2"/>
      <c r="AK153" s="2" t="s">
        <v>217</v>
      </c>
      <c r="AL153" s="2" t="s">
        <v>298</v>
      </c>
      <c r="AM153" s="2" t="s">
        <v>298</v>
      </c>
      <c r="AN153" s="2" t="s">
        <v>359</v>
      </c>
      <c r="AO153" s="2" t="s">
        <v>3541</v>
      </c>
      <c r="AP153" s="2">
        <v>705348000</v>
      </c>
      <c r="AQ153" s="2">
        <v>705348000</v>
      </c>
      <c r="AR153" s="2" t="s">
        <v>253</v>
      </c>
      <c r="AS153" s="2">
        <v>83113608</v>
      </c>
      <c r="AT153" s="2" t="s">
        <v>3542</v>
      </c>
      <c r="AU153" s="2"/>
      <c r="AV153" s="2"/>
      <c r="AW153" s="2" t="s">
        <v>336</v>
      </c>
      <c r="AX153" s="2">
        <v>90039898</v>
      </c>
      <c r="AY153" s="2" t="s">
        <v>3543</v>
      </c>
      <c r="AZ153" s="2" t="s">
        <v>3544</v>
      </c>
      <c r="BA153" s="2" t="s">
        <v>2576</v>
      </c>
      <c r="BB153" s="2">
        <v>0</v>
      </c>
      <c r="BC153" s="3" t="str">
        <f>HYPERLINK("https://patentscout.innography.com/share/f0Q0A_hgCSxVc9T5wem70Q%3D%3D","KR102434060")</f>
        <v>KR102434060</v>
      </c>
      <c r="BD153" s="2" t="s">
        <v>3545</v>
      </c>
      <c r="BE153" s="2" t="s">
        <v>3546</v>
      </c>
      <c r="BF153" s="2" t="s">
        <v>3547</v>
      </c>
      <c r="BG153" s="2" t="str">
        <f>HYPERLINK("https://patentscout.innography.com/share/f0Q0A_hgCSxVc9T5wem70Q%3D%3D/download", "Download PDF")</f>
        <v>Download PDF</v>
      </c>
      <c r="BH153" s="2" t="s">
        <v>3548</v>
      </c>
      <c r="BI153" s="2"/>
      <c r="BJ153" s="2" t="s">
        <v>3549</v>
      </c>
      <c r="BK153" s="2" t="s">
        <v>3549</v>
      </c>
      <c r="BL153" s="2" t="s">
        <v>3549</v>
      </c>
      <c r="BM153" s="2"/>
      <c r="BN153" s="2"/>
      <c r="BO153" s="2"/>
      <c r="BP153" s="2"/>
      <c r="BQ153" s="2"/>
      <c r="BR153" s="2"/>
      <c r="BS153" s="2"/>
      <c r="BT153" s="2"/>
      <c r="BU153" s="2"/>
      <c r="BV153" s="2"/>
      <c r="BW153" s="2"/>
      <c r="BX153" s="2"/>
      <c r="BY153" s="2"/>
      <c r="BZ153" s="2"/>
      <c r="CA153" s="2"/>
      <c r="CB153" s="2"/>
      <c r="CC153" s="2" t="s">
        <v>243</v>
      </c>
      <c r="CD153" s="2" t="str">
        <f>HYPERLINK("https://patentscout.innography.com/share/f0Q0A_hgCSxVc9T5wem70Q%3D%3D", "Innography Link")</f>
        <v>Innography Link</v>
      </c>
      <c r="CE153" s="2"/>
      <c r="CF153" s="2"/>
      <c r="CG153" s="2"/>
      <c r="CH153" s="2"/>
      <c r="CI153" s="2"/>
    </row>
    <row r="154" spans="1:106" ht="152" customHeight="1" x14ac:dyDescent="0.45">
      <c r="A154" s="2">
        <v>0</v>
      </c>
      <c r="B154" s="2">
        <v>5</v>
      </c>
      <c r="C154" s="2" t="s">
        <v>3550</v>
      </c>
      <c r="D154" s="2"/>
      <c r="E154" s="2"/>
      <c r="F154" s="2" t="s">
        <v>3551</v>
      </c>
      <c r="G154" s="2" t="s">
        <v>3551</v>
      </c>
      <c r="H154" s="2" t="s">
        <v>708</v>
      </c>
      <c r="I154" s="2" t="s">
        <v>708</v>
      </c>
      <c r="J154" s="2" t="s">
        <v>3552</v>
      </c>
      <c r="K154" s="2" t="s">
        <v>3551</v>
      </c>
      <c r="L154" s="2" t="s">
        <v>3551</v>
      </c>
      <c r="M154" s="2" t="s">
        <v>3553</v>
      </c>
      <c r="N154" s="2" t="s">
        <v>3554</v>
      </c>
      <c r="O154" s="2"/>
      <c r="P154" s="2" t="s">
        <v>3555</v>
      </c>
      <c r="Q154" s="2" t="s">
        <v>3556</v>
      </c>
      <c r="R154" s="2" t="s">
        <v>3556</v>
      </c>
      <c r="S154" s="2" t="s">
        <v>3555</v>
      </c>
      <c r="T154" s="2">
        <v>85</v>
      </c>
      <c r="U154" s="2">
        <v>3</v>
      </c>
      <c r="V154" s="2" t="s">
        <v>3557</v>
      </c>
      <c r="W154" s="2"/>
      <c r="X154" s="2"/>
      <c r="Y154" s="2"/>
      <c r="Z154" s="2" t="s">
        <v>3558</v>
      </c>
      <c r="AA154" s="2" t="s">
        <v>3559</v>
      </c>
      <c r="AB154" s="2">
        <v>3</v>
      </c>
      <c r="AC154" s="2" t="s">
        <v>235</v>
      </c>
      <c r="AD154" s="2" t="s">
        <v>3560</v>
      </c>
      <c r="AE154" s="2">
        <v>727</v>
      </c>
      <c r="AF154" s="2" t="s">
        <v>141</v>
      </c>
      <c r="AG154" s="2"/>
      <c r="AH154" s="2"/>
      <c r="AI154" s="2"/>
      <c r="AJ154" s="2"/>
      <c r="AK154" s="2" t="s">
        <v>217</v>
      </c>
      <c r="AL154" s="2" t="s">
        <v>298</v>
      </c>
      <c r="AM154" s="2" t="s">
        <v>298</v>
      </c>
      <c r="AN154" s="2" t="s">
        <v>359</v>
      </c>
      <c r="AO154" s="2" t="s">
        <v>3561</v>
      </c>
      <c r="AP154" s="2">
        <v>705348000</v>
      </c>
      <c r="AQ154" s="2">
        <v>705348000</v>
      </c>
      <c r="AR154" s="2" t="s">
        <v>253</v>
      </c>
      <c r="AS154" s="2">
        <v>83462054</v>
      </c>
      <c r="AT154" s="2" t="s">
        <v>3562</v>
      </c>
      <c r="AU154" s="2"/>
      <c r="AV154" s="2"/>
      <c r="AW154" s="2" t="s">
        <v>336</v>
      </c>
      <c r="AX154" s="2">
        <v>91462614</v>
      </c>
      <c r="AY154" s="2" t="s">
        <v>3563</v>
      </c>
      <c r="AZ154" s="2" t="s">
        <v>3564</v>
      </c>
      <c r="BA154" s="2" t="s">
        <v>3565</v>
      </c>
      <c r="BB154" s="2">
        <v>0</v>
      </c>
      <c r="BC154" s="3" t="str">
        <f>HYPERLINK("https://patentscout.innography.com/share/fgKiqN8icgT2T6ZPhaCNbg%3D%3D","KR102449202")</f>
        <v>KR102449202</v>
      </c>
      <c r="BD154" s="2" t="s">
        <v>3566</v>
      </c>
      <c r="BE154" s="2" t="s">
        <v>3567</v>
      </c>
      <c r="BF154" s="2" t="s">
        <v>3568</v>
      </c>
      <c r="BG154" s="2" t="str">
        <f>HYPERLINK("https://patentscout.innography.com/share/fgKiqN8icgT2T6ZPhaCNbg%3D%3D/download", "Download PDF")</f>
        <v>Download PDF</v>
      </c>
      <c r="BH154" s="2" t="s">
        <v>3569</v>
      </c>
      <c r="BI154" s="2"/>
      <c r="BJ154" s="2" t="s">
        <v>3570</v>
      </c>
      <c r="BK154" s="2" t="s">
        <v>3570</v>
      </c>
      <c r="BL154" s="2" t="s">
        <v>3570</v>
      </c>
      <c r="BM154" s="2"/>
      <c r="BN154" s="2"/>
      <c r="BO154" s="2"/>
      <c r="BP154" s="2"/>
      <c r="BQ154" s="2"/>
      <c r="BR154" s="2"/>
      <c r="BS154" s="2"/>
      <c r="BT154" s="2"/>
      <c r="BU154" s="2"/>
      <c r="BV154" s="2"/>
      <c r="BW154" s="2"/>
      <c r="BX154" s="2"/>
      <c r="BY154" s="2"/>
      <c r="BZ154" s="2"/>
      <c r="CA154" s="2"/>
      <c r="CB154" s="2"/>
      <c r="CC154" s="2" t="s">
        <v>243</v>
      </c>
      <c r="CD154" s="2" t="str">
        <f>HYPERLINK("https://patentscout.innography.com/share/fgKiqN8icgT2T6ZPhaCNbg%3D%3D", "Innography Link")</f>
        <v>Innography Link</v>
      </c>
      <c r="CE154" s="2"/>
      <c r="CF154" s="2"/>
      <c r="CG154" s="2"/>
      <c r="CH154" s="2"/>
      <c r="CI154" s="2"/>
      <c r="CK154" s="2" t="s">
        <v>3571</v>
      </c>
      <c r="CL154" s="2" t="s">
        <v>780</v>
      </c>
      <c r="CM154" s="2" t="s">
        <v>444</v>
      </c>
    </row>
    <row r="155" spans="1:106" ht="152" customHeight="1" x14ac:dyDescent="0.45">
      <c r="A155" s="2">
        <v>10</v>
      </c>
      <c r="B155" s="2">
        <v>17</v>
      </c>
      <c r="C155" s="2" t="s">
        <v>3572</v>
      </c>
      <c r="D155" s="2" t="s">
        <v>3573</v>
      </c>
      <c r="E155" s="2" t="s">
        <v>3574</v>
      </c>
      <c r="F155" s="2"/>
      <c r="G155" s="2" t="s">
        <v>3574</v>
      </c>
      <c r="H155" s="2" t="s">
        <v>3575</v>
      </c>
      <c r="I155" s="2" t="s">
        <v>3575</v>
      </c>
      <c r="J155" s="2" t="s">
        <v>3576</v>
      </c>
      <c r="K155" s="2" t="s">
        <v>3574</v>
      </c>
      <c r="L155" s="2" t="s">
        <v>3574</v>
      </c>
      <c r="M155" s="2" t="s">
        <v>3577</v>
      </c>
      <c r="N155" s="2" t="s">
        <v>3578</v>
      </c>
      <c r="O155" s="2"/>
      <c r="P155" s="2" t="s">
        <v>381</v>
      </c>
      <c r="Q155" s="2" t="s">
        <v>382</v>
      </c>
      <c r="R155" s="2" t="s">
        <v>382</v>
      </c>
      <c r="S155" s="2" t="s">
        <v>3579</v>
      </c>
      <c r="T155" s="2">
        <v>85</v>
      </c>
      <c r="U155" s="2">
        <v>57</v>
      </c>
      <c r="V155" s="2" t="s">
        <v>3580</v>
      </c>
      <c r="W155" s="2" t="s">
        <v>3581</v>
      </c>
      <c r="X155" s="2">
        <v>2172</v>
      </c>
      <c r="Y155" s="2" t="s">
        <v>3582</v>
      </c>
      <c r="Z155" s="2" t="s">
        <v>3583</v>
      </c>
      <c r="AA155" s="2" t="s">
        <v>3584</v>
      </c>
      <c r="AB155" s="2">
        <v>20</v>
      </c>
      <c r="AC155" s="2" t="s">
        <v>139</v>
      </c>
      <c r="AD155" s="2" t="s">
        <v>3585</v>
      </c>
      <c r="AE155" s="2">
        <v>93</v>
      </c>
      <c r="AF155" s="2" t="s">
        <v>180</v>
      </c>
      <c r="AG155" s="2"/>
      <c r="AH155" s="2"/>
      <c r="AI155" s="2"/>
      <c r="AJ155" s="2"/>
      <c r="AK155" s="2" t="s">
        <v>142</v>
      </c>
      <c r="AL155" s="2" t="s">
        <v>3586</v>
      </c>
      <c r="AM155" s="2" t="s">
        <v>3587</v>
      </c>
      <c r="AN155" s="2" t="s">
        <v>273</v>
      </c>
      <c r="AO155" s="2" t="s">
        <v>273</v>
      </c>
      <c r="AP155" s="2">
        <v>715705000</v>
      </c>
      <c r="AQ155" s="2">
        <v>715705000</v>
      </c>
      <c r="AR155" s="2" t="s">
        <v>185</v>
      </c>
      <c r="AS155" s="2">
        <v>41257942</v>
      </c>
      <c r="AT155" s="2" t="s">
        <v>3588</v>
      </c>
      <c r="AU155" s="2"/>
      <c r="AV155" s="2"/>
      <c r="AW155" s="2" t="s">
        <v>148</v>
      </c>
      <c r="AX155" s="2">
        <v>33154420</v>
      </c>
      <c r="AY155" s="2" t="s">
        <v>3589</v>
      </c>
      <c r="AZ155" s="2" t="s">
        <v>3590</v>
      </c>
      <c r="BA155" s="2" t="s">
        <v>306</v>
      </c>
      <c r="BB155" s="2">
        <v>0</v>
      </c>
      <c r="BC155" s="3" t="str">
        <f>HYPERLINK("https://patentscout.innography.com/share/8s0uVEv2H717H4lgNhvntA%3D%3D","US20090276703")</f>
        <v>US20090276703</v>
      </c>
      <c r="BD155" s="2" t="s">
        <v>3591</v>
      </c>
      <c r="BE155" s="2" t="s">
        <v>3592</v>
      </c>
      <c r="BF155" s="2" t="s">
        <v>3593</v>
      </c>
      <c r="BG155" s="2" t="str">
        <f>HYPERLINK("https://patentscout.innography.com/share/8s0uVEv2H717H4lgNhvntA%3D%3D/download", "Download PDF")</f>
        <v>Download PDF</v>
      </c>
      <c r="BH155" s="2" t="s">
        <v>3594</v>
      </c>
      <c r="BI155" s="2"/>
      <c r="BJ155" s="2" t="s">
        <v>3589</v>
      </c>
      <c r="BK155" s="2" t="s">
        <v>3589</v>
      </c>
      <c r="BL155" s="2" t="s">
        <v>3589</v>
      </c>
      <c r="BM155" s="2" t="s">
        <v>313</v>
      </c>
      <c r="BN155" s="2"/>
      <c r="BO155" s="2" t="s">
        <v>3595</v>
      </c>
      <c r="BP155" s="2"/>
      <c r="BQ155" s="2"/>
      <c r="BR155" s="2" t="s">
        <v>3596</v>
      </c>
      <c r="BS155" s="2" t="s">
        <v>3597</v>
      </c>
      <c r="BT155" s="2" t="s">
        <v>3598</v>
      </c>
      <c r="BU155" s="2" t="s">
        <v>3599</v>
      </c>
      <c r="BV155" s="2"/>
      <c r="BW155" s="2" t="s">
        <v>204</v>
      </c>
      <c r="BX155" s="2"/>
      <c r="BY155" s="2"/>
      <c r="BZ155" s="2"/>
      <c r="CA155" s="2"/>
      <c r="CB155" s="2"/>
      <c r="CC155" s="2" t="s">
        <v>158</v>
      </c>
      <c r="CD155" s="2" t="str">
        <f>HYPERLINK("https://patentscout.innography.com/share/8s0uVEv2H717H4lgNhvntA%3D%3D", "Innography Link")</f>
        <v>Innography Link</v>
      </c>
      <c r="CE155" s="2"/>
      <c r="CF155" s="2"/>
      <c r="CG155" s="2"/>
      <c r="CH155" s="2"/>
      <c r="CI155" s="2"/>
      <c r="CK155" s="2" t="s">
        <v>3600</v>
      </c>
      <c r="CL155" s="2" t="s">
        <v>3601</v>
      </c>
      <c r="CM155" s="2" t="s">
        <v>3602</v>
      </c>
    </row>
    <row r="156" spans="1:106" ht="152" customHeight="1" x14ac:dyDescent="0.45">
      <c r="A156" s="2">
        <v>2</v>
      </c>
      <c r="B156" s="2">
        <v>2</v>
      </c>
      <c r="C156" s="2" t="s">
        <v>3603</v>
      </c>
      <c r="D156" s="2" t="s">
        <v>3604</v>
      </c>
      <c r="E156" s="2" t="s">
        <v>3605</v>
      </c>
      <c r="F156" s="2" t="s">
        <v>3606</v>
      </c>
      <c r="G156" s="2" t="s">
        <v>3605</v>
      </c>
      <c r="H156" s="2" t="s">
        <v>3607</v>
      </c>
      <c r="I156" s="2" t="s">
        <v>3607</v>
      </c>
      <c r="J156" s="2" t="s">
        <v>3606</v>
      </c>
      <c r="K156" s="2" t="s">
        <v>3605</v>
      </c>
      <c r="L156" s="2" t="s">
        <v>3605</v>
      </c>
      <c r="M156" s="2" t="s">
        <v>3608</v>
      </c>
      <c r="N156" s="2" t="s">
        <v>3609</v>
      </c>
      <c r="O156" s="2"/>
      <c r="P156" s="2" t="s">
        <v>1395</v>
      </c>
      <c r="Q156" s="2" t="s">
        <v>1396</v>
      </c>
      <c r="R156" s="2" t="s">
        <v>1397</v>
      </c>
      <c r="S156" s="2" t="s">
        <v>381</v>
      </c>
      <c r="T156" s="2">
        <v>85</v>
      </c>
      <c r="U156" s="2">
        <v>12</v>
      </c>
      <c r="V156" s="2" t="s">
        <v>3610</v>
      </c>
      <c r="W156" s="2" t="s">
        <v>3611</v>
      </c>
      <c r="X156" s="2">
        <v>2826</v>
      </c>
      <c r="Y156" s="2" t="s">
        <v>3612</v>
      </c>
      <c r="Z156" s="2" t="s">
        <v>3613</v>
      </c>
      <c r="AA156" s="2" t="s">
        <v>3614</v>
      </c>
      <c r="AB156" s="2">
        <v>18</v>
      </c>
      <c r="AC156" s="2" t="s">
        <v>139</v>
      </c>
      <c r="AD156" s="2" t="s">
        <v>3615</v>
      </c>
      <c r="AE156" s="2">
        <v>58</v>
      </c>
      <c r="AF156" s="2" t="s">
        <v>180</v>
      </c>
      <c r="AG156" s="2"/>
      <c r="AH156" s="2"/>
      <c r="AI156" s="2" t="s">
        <v>3616</v>
      </c>
      <c r="AJ156" s="2"/>
      <c r="AK156" s="2" t="s">
        <v>142</v>
      </c>
      <c r="AL156" s="2" t="s">
        <v>3617</v>
      </c>
      <c r="AM156" s="2" t="s">
        <v>3618</v>
      </c>
      <c r="AN156" s="2" t="s">
        <v>300</v>
      </c>
      <c r="AO156" s="2" t="s">
        <v>300</v>
      </c>
      <c r="AP156" s="2">
        <v>463042000</v>
      </c>
      <c r="AQ156" s="2">
        <v>463042000</v>
      </c>
      <c r="AR156" s="2" t="s">
        <v>541</v>
      </c>
      <c r="AS156" s="2">
        <v>42231705</v>
      </c>
      <c r="AT156" s="2" t="s">
        <v>3619</v>
      </c>
      <c r="AU156" s="2"/>
      <c r="AV156" s="2"/>
      <c r="AW156" s="2" t="s">
        <v>303</v>
      </c>
      <c r="AX156" s="2">
        <v>34129087</v>
      </c>
      <c r="AY156" s="2" t="s">
        <v>3620</v>
      </c>
      <c r="AZ156" s="2" t="s">
        <v>3621</v>
      </c>
      <c r="BA156" s="2" t="s">
        <v>3622</v>
      </c>
      <c r="BB156" s="2">
        <v>0</v>
      </c>
      <c r="BC156" s="3" t="str">
        <f>HYPERLINK("https://patentscout.innography.com/share/75neWhyR3xN5pFpffQVnfA%3D%3D","US20100144441")</f>
        <v>US20100144441</v>
      </c>
      <c r="BD156" s="2" t="s">
        <v>3623</v>
      </c>
      <c r="BE156" s="2" t="s">
        <v>3624</v>
      </c>
      <c r="BF156" s="2" t="s">
        <v>3625</v>
      </c>
      <c r="BG156" s="2" t="str">
        <f>HYPERLINK("https://patentscout.innography.com/share/75neWhyR3xN5pFpffQVnfA%3D%3D/download", "Download PDF")</f>
        <v>Download PDF</v>
      </c>
      <c r="BH156" s="2" t="s">
        <v>3626</v>
      </c>
      <c r="BI156" s="2"/>
      <c r="BJ156" s="2" t="s">
        <v>3627</v>
      </c>
      <c r="BK156" s="2" t="s">
        <v>3627</v>
      </c>
      <c r="BL156" s="2" t="s">
        <v>3627</v>
      </c>
      <c r="BM156" s="2"/>
      <c r="BN156" s="2" t="s">
        <v>3628</v>
      </c>
      <c r="BO156" s="2"/>
      <c r="BP156" s="2"/>
      <c r="BQ156" s="2" t="s">
        <v>3629</v>
      </c>
      <c r="BR156" s="2"/>
      <c r="BS156" s="2"/>
      <c r="BT156" s="2" t="s">
        <v>3630</v>
      </c>
      <c r="BU156" s="2" t="s">
        <v>3631</v>
      </c>
      <c r="BV156" s="2" t="s">
        <v>3632</v>
      </c>
      <c r="BW156" s="2" t="s">
        <v>318</v>
      </c>
      <c r="BX156" s="2"/>
      <c r="BY156" s="2"/>
      <c r="BZ156" s="2"/>
      <c r="CA156" s="2"/>
      <c r="CB156" s="2"/>
      <c r="CC156" s="2" t="s">
        <v>158</v>
      </c>
      <c r="CD156" s="2" t="str">
        <f>HYPERLINK("https://patentscout.innography.com/share/75neWhyR3xN5pFpffQVnfA%3D%3D", "Innography Link")</f>
        <v>Innography Link</v>
      </c>
      <c r="CE156" s="2"/>
      <c r="CF156" s="2"/>
      <c r="CG156" s="2"/>
      <c r="CH156" s="2"/>
      <c r="CI156" s="2"/>
      <c r="CK156" s="2" t="s">
        <v>3633</v>
      </c>
      <c r="CL156" s="2" t="s">
        <v>3634</v>
      </c>
      <c r="CM156" s="2" t="s">
        <v>3635</v>
      </c>
      <c r="CN156" s="2" t="s">
        <v>3636</v>
      </c>
    </row>
    <row r="157" spans="1:106" ht="152" customHeight="1" x14ac:dyDescent="0.45">
      <c r="A157" s="2">
        <v>95</v>
      </c>
      <c r="B157" s="2">
        <v>3</v>
      </c>
      <c r="C157" s="2" t="s">
        <v>3637</v>
      </c>
      <c r="D157" s="2" t="s">
        <v>3638</v>
      </c>
      <c r="E157" s="2" t="s">
        <v>3605</v>
      </c>
      <c r="F157" s="2" t="s">
        <v>3606</v>
      </c>
      <c r="G157" s="2" t="s">
        <v>3606</v>
      </c>
      <c r="H157" s="2" t="s">
        <v>3607</v>
      </c>
      <c r="I157" s="2" t="s">
        <v>3607</v>
      </c>
      <c r="J157" s="2" t="s">
        <v>3639</v>
      </c>
      <c r="K157" s="2" t="s">
        <v>3605</v>
      </c>
      <c r="L157" s="2" t="s">
        <v>3605</v>
      </c>
      <c r="M157" s="2" t="s">
        <v>3608</v>
      </c>
      <c r="N157" s="2" t="s">
        <v>3609</v>
      </c>
      <c r="O157" s="2"/>
      <c r="P157" s="2" t="s">
        <v>1395</v>
      </c>
      <c r="Q157" s="2" t="s">
        <v>1396</v>
      </c>
      <c r="R157" s="2" t="s">
        <v>1397</v>
      </c>
      <c r="S157" s="2" t="s">
        <v>381</v>
      </c>
      <c r="T157" s="2">
        <v>85</v>
      </c>
      <c r="U157" s="2">
        <v>80</v>
      </c>
      <c r="V157" s="2" t="s">
        <v>3610</v>
      </c>
      <c r="W157" s="2" t="s">
        <v>3611</v>
      </c>
      <c r="X157" s="2">
        <v>2826</v>
      </c>
      <c r="Y157" s="2" t="s">
        <v>3612</v>
      </c>
      <c r="Z157" s="2" t="s">
        <v>3640</v>
      </c>
      <c r="AA157" s="2" t="s">
        <v>3641</v>
      </c>
      <c r="AB157" s="2">
        <v>20</v>
      </c>
      <c r="AC157" s="2" t="s">
        <v>250</v>
      </c>
      <c r="AD157" s="2" t="s">
        <v>3642</v>
      </c>
      <c r="AE157" s="2">
        <v>265</v>
      </c>
      <c r="AF157" s="2" t="s">
        <v>141</v>
      </c>
      <c r="AG157" s="2"/>
      <c r="AH157" s="2"/>
      <c r="AI157" s="2" t="s">
        <v>3627</v>
      </c>
      <c r="AJ157" s="2"/>
      <c r="AK157" s="2" t="s">
        <v>142</v>
      </c>
      <c r="AL157" s="2" t="s">
        <v>3617</v>
      </c>
      <c r="AM157" s="2" t="s">
        <v>3618</v>
      </c>
      <c r="AN157" s="2" t="s">
        <v>3643</v>
      </c>
      <c r="AO157" s="2" t="s">
        <v>3643</v>
      </c>
      <c r="AP157" s="2">
        <v>463042000</v>
      </c>
      <c r="AQ157" s="2" t="s">
        <v>3644</v>
      </c>
      <c r="AR157" s="2" t="s">
        <v>3645</v>
      </c>
      <c r="AS157" s="2">
        <v>42231705</v>
      </c>
      <c r="AT157" s="2" t="s">
        <v>3619</v>
      </c>
      <c r="AU157" s="2"/>
      <c r="AV157" s="2"/>
      <c r="AW157" s="2" t="s">
        <v>3646</v>
      </c>
      <c r="AX157" s="2">
        <v>34129087</v>
      </c>
      <c r="AY157" s="2" t="s">
        <v>3620</v>
      </c>
      <c r="AZ157" s="2" t="s">
        <v>3621</v>
      </c>
      <c r="BA157" s="2" t="s">
        <v>3647</v>
      </c>
      <c r="BB157" s="2">
        <v>0</v>
      </c>
      <c r="BC157" s="3" t="str">
        <f>HYPERLINK("https://patentscout.innography.com/share/ItcDXTLPiSEeXOisEDuAHQ%3D%3D","US8113959")</f>
        <v>US8113959</v>
      </c>
      <c r="BD157" s="2" t="s">
        <v>3648</v>
      </c>
      <c r="BE157" s="2" t="s">
        <v>3624</v>
      </c>
      <c r="BF157" s="2" t="s">
        <v>3649</v>
      </c>
      <c r="BG157" s="2" t="str">
        <f>HYPERLINK("https://patentscout.innography.com/share/ItcDXTLPiSEeXOisEDuAHQ%3D%3D/download", "Download PDF")</f>
        <v>Download PDF</v>
      </c>
      <c r="BH157" s="2" t="s">
        <v>3650</v>
      </c>
      <c r="BI157" s="2"/>
      <c r="BJ157" s="2" t="s">
        <v>3627</v>
      </c>
      <c r="BK157" s="2" t="s">
        <v>3627</v>
      </c>
      <c r="BL157" s="2" t="s">
        <v>3627</v>
      </c>
      <c r="BM157" s="2"/>
      <c r="BN157" s="2" t="s">
        <v>3628</v>
      </c>
      <c r="BO157" s="2"/>
      <c r="BP157" s="2"/>
      <c r="BQ157" s="2" t="s">
        <v>3629</v>
      </c>
      <c r="BR157" s="2"/>
      <c r="BS157" s="2"/>
      <c r="BT157" s="2" t="s">
        <v>3630</v>
      </c>
      <c r="BU157" s="2" t="s">
        <v>3631</v>
      </c>
      <c r="BV157" s="2" t="s">
        <v>3632</v>
      </c>
      <c r="BW157" s="2" t="s">
        <v>318</v>
      </c>
      <c r="BX157" s="2"/>
      <c r="BY157" s="2"/>
      <c r="BZ157" s="2"/>
      <c r="CA157" s="2"/>
      <c r="CB157" s="2"/>
      <c r="CC157" s="2" t="s">
        <v>259</v>
      </c>
      <c r="CD157" s="2" t="str">
        <f>HYPERLINK("https://patentscout.innography.com/share/ItcDXTLPiSEeXOisEDuAHQ%3D%3D", "Innography Link")</f>
        <v>Innography Link</v>
      </c>
      <c r="CE157" s="2"/>
      <c r="CF157" s="2"/>
      <c r="CG157" s="2"/>
      <c r="CH157" s="2"/>
      <c r="CI157" s="2"/>
      <c r="CK157" s="2" t="s">
        <v>3651</v>
      </c>
      <c r="CL157" s="2" t="s">
        <v>3652</v>
      </c>
      <c r="CM157" s="2" t="s">
        <v>3653</v>
      </c>
      <c r="CN157" s="2" t="s">
        <v>3654</v>
      </c>
    </row>
    <row r="158" spans="1:106" ht="152" customHeight="1" x14ac:dyDescent="0.45">
      <c r="A158" s="2">
        <v>0</v>
      </c>
      <c r="B158" s="2">
        <v>7</v>
      </c>
      <c r="C158" s="2" t="s">
        <v>3655</v>
      </c>
      <c r="D158" s="2"/>
      <c r="E158" s="2"/>
      <c r="F158" s="2" t="s">
        <v>3656</v>
      </c>
      <c r="G158" s="2" t="s">
        <v>3656</v>
      </c>
      <c r="H158" s="2" t="s">
        <v>1845</v>
      </c>
      <c r="I158" s="2" t="s">
        <v>1845</v>
      </c>
      <c r="J158" s="2" t="s">
        <v>1846</v>
      </c>
      <c r="K158" s="2" t="s">
        <v>3656</v>
      </c>
      <c r="L158" s="2" t="s">
        <v>3656</v>
      </c>
      <c r="M158" s="2" t="s">
        <v>3657</v>
      </c>
      <c r="N158" s="2" t="s">
        <v>3658</v>
      </c>
      <c r="O158" s="2"/>
      <c r="P158" s="2" t="s">
        <v>3659</v>
      </c>
      <c r="Q158" s="2" t="s">
        <v>3659</v>
      </c>
      <c r="R158" s="2" t="s">
        <v>3660</v>
      </c>
      <c r="S158" s="2" t="s">
        <v>3659</v>
      </c>
      <c r="T158" s="2">
        <v>85</v>
      </c>
      <c r="U158" s="2">
        <v>4</v>
      </c>
      <c r="V158" s="2" t="s">
        <v>3661</v>
      </c>
      <c r="W158" s="2"/>
      <c r="X158" s="2"/>
      <c r="Y158" s="2"/>
      <c r="Z158" s="2" t="s">
        <v>3662</v>
      </c>
      <c r="AA158" s="2" t="s">
        <v>3663</v>
      </c>
      <c r="AB158" s="2">
        <v>3</v>
      </c>
      <c r="AC158" s="2" t="s">
        <v>235</v>
      </c>
      <c r="AD158" s="2" t="s">
        <v>3664</v>
      </c>
      <c r="AE158" s="2">
        <v>491</v>
      </c>
      <c r="AF158" s="2" t="s">
        <v>141</v>
      </c>
      <c r="AG158" s="2"/>
      <c r="AH158" s="2"/>
      <c r="AI158" s="2"/>
      <c r="AJ158" s="2"/>
      <c r="AK158" s="2" t="s">
        <v>217</v>
      </c>
      <c r="AL158" s="2" t="s">
        <v>298</v>
      </c>
      <c r="AM158" s="2" t="s">
        <v>298</v>
      </c>
      <c r="AN158" s="2" t="s">
        <v>359</v>
      </c>
      <c r="AO158" s="2" t="s">
        <v>2405</v>
      </c>
      <c r="AP158" s="2">
        <v>705348000</v>
      </c>
      <c r="AQ158" s="2">
        <v>705348000</v>
      </c>
      <c r="AR158" s="2" t="s">
        <v>253</v>
      </c>
      <c r="AS158" s="2">
        <v>83452521</v>
      </c>
      <c r="AT158" s="2" t="s">
        <v>3665</v>
      </c>
      <c r="AU158" s="2"/>
      <c r="AV158" s="2"/>
      <c r="AW158" s="2" t="s">
        <v>336</v>
      </c>
      <c r="AX158" s="2">
        <v>91255958</v>
      </c>
      <c r="AY158" s="2" t="s">
        <v>1718</v>
      </c>
      <c r="AZ158" s="2" t="s">
        <v>3666</v>
      </c>
      <c r="BA158" s="2" t="s">
        <v>1858</v>
      </c>
      <c r="BB158" s="2">
        <v>0</v>
      </c>
      <c r="BC158" s="3" t="str">
        <f>HYPERLINK("https://patentscout.innography.com/share/HcAWF3JMHPvw6pxfdLWypQ%3D%3D","KR102447516")</f>
        <v>KR102447516</v>
      </c>
      <c r="BD158" s="2" t="s">
        <v>3667</v>
      </c>
      <c r="BE158" s="2" t="s">
        <v>3668</v>
      </c>
      <c r="BF158" s="2" t="s">
        <v>3669</v>
      </c>
      <c r="BG158" s="2" t="str">
        <f>HYPERLINK("https://patentscout.innography.com/share/HcAWF3JMHPvw6pxfdLWypQ%3D%3D/download", "Download PDF")</f>
        <v>Download PDF</v>
      </c>
      <c r="BH158" s="2" t="s">
        <v>3670</v>
      </c>
      <c r="BI158" s="2"/>
      <c r="BJ158" s="2" t="s">
        <v>3671</v>
      </c>
      <c r="BK158" s="2" t="s">
        <v>3671</v>
      </c>
      <c r="BL158" s="2" t="s">
        <v>3671</v>
      </c>
      <c r="BM158" s="2"/>
      <c r="BN158" s="2"/>
      <c r="BO158" s="2"/>
      <c r="BP158" s="2"/>
      <c r="BQ158" s="2"/>
      <c r="BR158" s="2"/>
      <c r="BS158" s="2"/>
      <c r="BT158" s="2"/>
      <c r="BU158" s="2"/>
      <c r="BV158" s="2"/>
      <c r="BW158" s="2"/>
      <c r="BX158" s="2"/>
      <c r="BY158" s="2"/>
      <c r="BZ158" s="2"/>
      <c r="CA158" s="2"/>
      <c r="CB158" s="2"/>
      <c r="CC158" s="2" t="s">
        <v>243</v>
      </c>
      <c r="CD158" s="2" t="str">
        <f>HYPERLINK("https://patentscout.innography.com/share/HcAWF3JMHPvw6pxfdLWypQ%3D%3D", "Innography Link")</f>
        <v>Innography Link</v>
      </c>
      <c r="CE158" s="2"/>
      <c r="CF158" s="2"/>
      <c r="CG158" s="2"/>
      <c r="CH158" s="2"/>
      <c r="CI158" s="2"/>
      <c r="CK158" s="2" t="s">
        <v>3672</v>
      </c>
      <c r="CL158" s="2" t="s">
        <v>780</v>
      </c>
    </row>
    <row r="159" spans="1:106" ht="152" customHeight="1" x14ac:dyDescent="0.45">
      <c r="A159" s="2">
        <v>3</v>
      </c>
      <c r="B159" s="2">
        <v>0</v>
      </c>
      <c r="C159" s="2"/>
      <c r="D159" s="2" t="s">
        <v>3673</v>
      </c>
      <c r="E159" s="2" t="s">
        <v>3674</v>
      </c>
      <c r="F159" s="2"/>
      <c r="G159" s="2" t="s">
        <v>3674</v>
      </c>
      <c r="H159" s="2" t="s">
        <v>3675</v>
      </c>
      <c r="I159" s="2" t="s">
        <v>3676</v>
      </c>
      <c r="J159" s="2" t="s">
        <v>1744</v>
      </c>
      <c r="K159" s="2" t="s">
        <v>3677</v>
      </c>
      <c r="L159" s="2" t="s">
        <v>3677</v>
      </c>
      <c r="M159" s="2" t="s">
        <v>3678</v>
      </c>
      <c r="N159" s="2" t="s">
        <v>3679</v>
      </c>
      <c r="O159" s="2"/>
      <c r="P159" s="2" t="s">
        <v>3680</v>
      </c>
      <c r="Q159" s="2" t="s">
        <v>3680</v>
      </c>
      <c r="R159" s="2" t="s">
        <v>3681</v>
      </c>
      <c r="S159" s="2" t="s">
        <v>3680</v>
      </c>
      <c r="T159" s="2">
        <v>84</v>
      </c>
      <c r="U159" s="2">
        <v>68</v>
      </c>
      <c r="V159" s="2" t="s">
        <v>3682</v>
      </c>
      <c r="W159" s="2"/>
      <c r="X159" s="2"/>
      <c r="Y159" s="2"/>
      <c r="Z159" s="2" t="s">
        <v>3683</v>
      </c>
      <c r="AA159" s="2" t="s">
        <v>3684</v>
      </c>
      <c r="AB159" s="2">
        <v>105</v>
      </c>
      <c r="AC159" s="2" t="s">
        <v>139</v>
      </c>
      <c r="AD159" s="2" t="s">
        <v>3685</v>
      </c>
      <c r="AE159" s="2">
        <v>90</v>
      </c>
      <c r="AF159" s="2" t="s">
        <v>180</v>
      </c>
      <c r="AG159" s="2" t="s">
        <v>3686</v>
      </c>
      <c r="AH159" s="2"/>
      <c r="AI159" s="2"/>
      <c r="AJ159" s="2"/>
      <c r="AK159" s="2" t="s">
        <v>619</v>
      </c>
      <c r="AL159" s="2" t="s">
        <v>3687</v>
      </c>
      <c r="AM159" s="2" t="s">
        <v>3688</v>
      </c>
      <c r="AN159" s="2" t="s">
        <v>486</v>
      </c>
      <c r="AO159" s="2" t="s">
        <v>486</v>
      </c>
      <c r="AP159" s="2">
        <v>705348000</v>
      </c>
      <c r="AQ159" s="2">
        <v>705348000</v>
      </c>
      <c r="AR159" s="2" t="s">
        <v>514</v>
      </c>
      <c r="AS159" s="2">
        <v>67384659</v>
      </c>
      <c r="AT159" s="2" t="s">
        <v>3689</v>
      </c>
      <c r="AU159" s="2"/>
      <c r="AV159" s="2"/>
      <c r="AW159" s="2" t="s">
        <v>624</v>
      </c>
      <c r="AX159" s="2">
        <v>71054864</v>
      </c>
      <c r="AY159" s="2" t="s">
        <v>3690</v>
      </c>
      <c r="AZ159" s="2" t="s">
        <v>3691</v>
      </c>
      <c r="BA159" s="2" t="s">
        <v>3692</v>
      </c>
      <c r="BB159" s="2">
        <v>0</v>
      </c>
      <c r="BC159" s="3" t="str">
        <f>HYPERLINK("https://patentscout.innography.com/share/yZZDzRwpS0e3BKfRtoo9cA%3D%3D","WO2020229841")</f>
        <v>WO2020229841</v>
      </c>
      <c r="BD159" s="2" t="s">
        <v>3693</v>
      </c>
      <c r="BE159" s="2" t="s">
        <v>3694</v>
      </c>
      <c r="BF159" s="2" t="s">
        <v>3695</v>
      </c>
      <c r="BG159" s="2" t="str">
        <f>HYPERLINK("https://patentscout.innography.com/share/yZZDzRwpS0e3BKfRtoo9cA%3D%3D/download", "Download PDF")</f>
        <v>Download PDF</v>
      </c>
      <c r="BH159" s="2" t="s">
        <v>3696</v>
      </c>
      <c r="BI159" s="2"/>
      <c r="BJ159" s="2" t="s">
        <v>3697</v>
      </c>
      <c r="BK159" s="2" t="s">
        <v>3698</v>
      </c>
      <c r="BL159" s="2" t="s">
        <v>3698</v>
      </c>
      <c r="BM159" s="2"/>
      <c r="BN159" s="2"/>
      <c r="BO159" s="2"/>
      <c r="BP159" s="2"/>
      <c r="BQ159" s="2"/>
      <c r="BR159" s="2"/>
      <c r="BS159" s="2"/>
      <c r="BT159" s="2"/>
      <c r="BU159" s="2"/>
      <c r="BV159" s="2"/>
      <c r="BW159" s="2"/>
      <c r="BX159" s="2"/>
      <c r="BY159" s="2"/>
      <c r="BZ159" s="2"/>
      <c r="CA159" s="2"/>
      <c r="CB159" s="2"/>
      <c r="CC159" s="2" t="s">
        <v>635</v>
      </c>
      <c r="CD159" s="2" t="str">
        <f>HYPERLINK("https://patentscout.innography.com/share/yZZDzRwpS0e3BKfRtoo9cA%3D%3D", "Innography Link")</f>
        <v>Innography Link</v>
      </c>
      <c r="CE159" s="2"/>
      <c r="CF159" s="2"/>
      <c r="CG159" s="2"/>
      <c r="CH159" s="2"/>
      <c r="CI159" s="2"/>
      <c r="CK159" s="2" t="s">
        <v>3699</v>
      </c>
      <c r="CL159" s="2" t="s">
        <v>3700</v>
      </c>
      <c r="CM159" s="2" t="s">
        <v>3701</v>
      </c>
      <c r="CN159" s="2" t="s">
        <v>3702</v>
      </c>
      <c r="CO159" s="2" t="s">
        <v>3703</v>
      </c>
      <c r="CP159" s="2" t="s">
        <v>3704</v>
      </c>
      <c r="CQ159" s="2" t="s">
        <v>3705</v>
      </c>
      <c r="CR159" s="2" t="s">
        <v>3706</v>
      </c>
      <c r="CS159" s="2" t="s">
        <v>3707</v>
      </c>
      <c r="CT159" s="2" t="s">
        <v>3708</v>
      </c>
      <c r="CU159" s="2" t="s">
        <v>3709</v>
      </c>
      <c r="CV159" s="2" t="s">
        <v>3710</v>
      </c>
      <c r="CW159" s="2" t="s">
        <v>3711</v>
      </c>
      <c r="CX159" s="2" t="s">
        <v>3712</v>
      </c>
      <c r="CY159" s="2" t="s">
        <v>3713</v>
      </c>
      <c r="CZ159" s="2" t="s">
        <v>3714</v>
      </c>
      <c r="DA159" s="2" t="s">
        <v>3715</v>
      </c>
      <c r="DB159" s="2" t="s">
        <v>3716</v>
      </c>
    </row>
    <row r="160" spans="1:106" ht="152" customHeight="1" x14ac:dyDescent="0.45">
      <c r="A160" s="2">
        <v>0</v>
      </c>
      <c r="B160" s="2">
        <v>0</v>
      </c>
      <c r="C160" s="2"/>
      <c r="D160" s="2"/>
      <c r="E160" s="2" t="s">
        <v>1719</v>
      </c>
      <c r="F160" s="2"/>
      <c r="G160" s="2" t="s">
        <v>1719</v>
      </c>
      <c r="H160" s="2" t="s">
        <v>3675</v>
      </c>
      <c r="I160" s="2" t="s">
        <v>3676</v>
      </c>
      <c r="J160" s="2" t="s">
        <v>3717</v>
      </c>
      <c r="K160" s="2" t="s">
        <v>3677</v>
      </c>
      <c r="L160" s="2" t="s">
        <v>3677</v>
      </c>
      <c r="M160" s="2"/>
      <c r="N160" s="2" t="s">
        <v>3679</v>
      </c>
      <c r="O160" s="2"/>
      <c r="P160" s="2" t="s">
        <v>3680</v>
      </c>
      <c r="Q160" s="2" t="s">
        <v>3680</v>
      </c>
      <c r="R160" s="2" t="s">
        <v>3681</v>
      </c>
      <c r="S160" s="2" t="s">
        <v>3680</v>
      </c>
      <c r="T160" s="2">
        <v>84</v>
      </c>
      <c r="U160" s="2">
        <v>10</v>
      </c>
      <c r="V160" s="2" t="s">
        <v>3718</v>
      </c>
      <c r="W160" s="2"/>
      <c r="X160" s="2"/>
      <c r="Y160" s="2"/>
      <c r="Z160" s="2"/>
      <c r="AA160" s="2"/>
      <c r="AB160" s="2">
        <v>105</v>
      </c>
      <c r="AC160" s="2" t="s">
        <v>139</v>
      </c>
      <c r="AD160" s="2" t="s">
        <v>3685</v>
      </c>
      <c r="AE160" s="2">
        <v>1</v>
      </c>
      <c r="AF160" s="2" t="s">
        <v>141</v>
      </c>
      <c r="AG160" s="2" t="s">
        <v>3719</v>
      </c>
      <c r="AH160" s="2"/>
      <c r="AI160" s="2"/>
      <c r="AJ160" s="2"/>
      <c r="AK160" s="2" t="s">
        <v>3720</v>
      </c>
      <c r="AL160" s="2" t="s">
        <v>3687</v>
      </c>
      <c r="AM160" s="2" t="s">
        <v>3688</v>
      </c>
      <c r="AN160" s="2" t="s">
        <v>486</v>
      </c>
      <c r="AO160" s="2" t="s">
        <v>486</v>
      </c>
      <c r="AP160" s="2">
        <v>705348000</v>
      </c>
      <c r="AQ160" s="2">
        <v>705348000</v>
      </c>
      <c r="AR160" s="2" t="s">
        <v>541</v>
      </c>
      <c r="AS160" s="2">
        <v>67384659</v>
      </c>
      <c r="AT160" s="2" t="s">
        <v>3689</v>
      </c>
      <c r="AU160" s="2"/>
      <c r="AV160" s="2"/>
      <c r="AW160" s="2" t="s">
        <v>3721</v>
      </c>
      <c r="AX160" s="2">
        <v>71054864</v>
      </c>
      <c r="AY160" s="2" t="s">
        <v>3690</v>
      </c>
      <c r="AZ160" s="2" t="s">
        <v>3722</v>
      </c>
      <c r="BA160" s="2" t="s">
        <v>3723</v>
      </c>
      <c r="BB160" s="2">
        <v>0</v>
      </c>
      <c r="BC160" s="3" t="str">
        <f>HYPERLINK("https://patentscout.innography.com/share/dxZ8jwZUniiiQe489nv-sA%3D%3D","EP3983969")</f>
        <v>EP3983969</v>
      </c>
      <c r="BD160" s="2" t="s">
        <v>3724</v>
      </c>
      <c r="BE160" s="2" t="s">
        <v>3725</v>
      </c>
      <c r="BF160" s="2" t="s">
        <v>3726</v>
      </c>
      <c r="BG160" s="2" t="str">
        <f>HYPERLINK("https://patentscout.innography.com/share/dxZ8jwZUniiiQe489nv-sA%3D%3D/download", "Download PDF")</f>
        <v>Download PDF</v>
      </c>
      <c r="BH160" s="2" t="s">
        <v>3727</v>
      </c>
      <c r="BI160" s="2" t="s">
        <v>3728</v>
      </c>
      <c r="BJ160" s="2" t="s">
        <v>3729</v>
      </c>
      <c r="BK160" s="2" t="s">
        <v>3698</v>
      </c>
      <c r="BL160" s="2" t="s">
        <v>3698</v>
      </c>
      <c r="BM160" s="2"/>
      <c r="BN160" s="2"/>
      <c r="BO160" s="2"/>
      <c r="BP160" s="2"/>
      <c r="BQ160" s="2"/>
      <c r="BR160" s="2"/>
      <c r="BS160" s="2"/>
      <c r="BT160" s="2"/>
      <c r="BU160" s="2"/>
      <c r="BV160" s="2"/>
      <c r="BW160" s="2"/>
      <c r="BX160" s="2"/>
      <c r="BY160" s="2"/>
      <c r="BZ160" s="2"/>
      <c r="CA160" s="2"/>
      <c r="CB160" s="2"/>
      <c r="CC160" s="2" t="s">
        <v>3730</v>
      </c>
      <c r="CD160" s="2" t="str">
        <f>HYPERLINK("https://patentscout.innography.com/share/dxZ8jwZUniiiQe489nv-sA%3D%3D", "Innography Link")</f>
        <v>Innography Link</v>
      </c>
      <c r="CE160" s="2"/>
      <c r="CF160" s="2"/>
      <c r="CG160" s="2"/>
      <c r="CH160" s="2"/>
      <c r="CI160" s="2"/>
    </row>
    <row r="161" spans="1:98" ht="152" customHeight="1" x14ac:dyDescent="0.45">
      <c r="A161" s="2">
        <v>1</v>
      </c>
      <c r="B161" s="2">
        <v>0</v>
      </c>
      <c r="C161" s="2"/>
      <c r="D161" s="2" t="s">
        <v>3731</v>
      </c>
      <c r="E161" s="2" t="s">
        <v>3732</v>
      </c>
      <c r="F161" s="2"/>
      <c r="G161" s="2" t="s">
        <v>3732</v>
      </c>
      <c r="H161" s="2" t="s">
        <v>3675</v>
      </c>
      <c r="I161" s="2" t="s">
        <v>3676</v>
      </c>
      <c r="J161" s="2" t="s">
        <v>3717</v>
      </c>
      <c r="K161" s="2" t="s">
        <v>3677</v>
      </c>
      <c r="L161" s="2" t="s">
        <v>3677</v>
      </c>
      <c r="M161" s="2" t="s">
        <v>3733</v>
      </c>
      <c r="N161" s="2" t="s">
        <v>3734</v>
      </c>
      <c r="O161" s="2"/>
      <c r="P161" s="2" t="s">
        <v>3680</v>
      </c>
      <c r="Q161" s="2" t="s">
        <v>3680</v>
      </c>
      <c r="R161" s="2" t="s">
        <v>3681</v>
      </c>
      <c r="S161" s="2" t="s">
        <v>3680</v>
      </c>
      <c r="T161" s="2">
        <v>84</v>
      </c>
      <c r="U161" s="2">
        <v>82</v>
      </c>
      <c r="V161" s="2" t="s">
        <v>3735</v>
      </c>
      <c r="W161" s="2" t="s">
        <v>533</v>
      </c>
      <c r="X161" s="2"/>
      <c r="Y161" s="2"/>
      <c r="Z161" s="2" t="s">
        <v>3736</v>
      </c>
      <c r="AA161" s="2" t="s">
        <v>3737</v>
      </c>
      <c r="AB161" s="2">
        <v>22</v>
      </c>
      <c r="AC161" s="2" t="s">
        <v>139</v>
      </c>
      <c r="AD161" s="2" t="s">
        <v>3685</v>
      </c>
      <c r="AE161" s="2">
        <v>178</v>
      </c>
      <c r="AF161" s="2" t="s">
        <v>141</v>
      </c>
      <c r="AG161" s="2"/>
      <c r="AH161" s="2"/>
      <c r="AI161" s="2"/>
      <c r="AJ161" s="2"/>
      <c r="AK161" s="2" t="s">
        <v>142</v>
      </c>
      <c r="AL161" s="2" t="s">
        <v>3687</v>
      </c>
      <c r="AM161" s="2" t="s">
        <v>3688</v>
      </c>
      <c r="AN161" s="2" t="s">
        <v>3738</v>
      </c>
      <c r="AO161" s="2" t="s">
        <v>3739</v>
      </c>
      <c r="AP161" s="2">
        <v>477004000</v>
      </c>
      <c r="AQ161" s="2">
        <v>477004000</v>
      </c>
      <c r="AR161" s="2" t="s">
        <v>3645</v>
      </c>
      <c r="AS161" s="2">
        <v>67384659</v>
      </c>
      <c r="AT161" s="2" t="s">
        <v>3689</v>
      </c>
      <c r="AU161" s="2"/>
      <c r="AV161" s="2"/>
      <c r="AW161" s="2" t="s">
        <v>303</v>
      </c>
      <c r="AX161" s="2">
        <v>71054864</v>
      </c>
      <c r="AY161" s="2" t="s">
        <v>3690</v>
      </c>
      <c r="AZ161" s="2" t="s">
        <v>3740</v>
      </c>
      <c r="BA161" s="2" t="s">
        <v>3723</v>
      </c>
      <c r="BB161" s="2">
        <v>0</v>
      </c>
      <c r="BC161" s="3" t="str">
        <f>HYPERLINK("https://patentscout.innography.com/share/f_9ZCas6FU3H-Lv_OnRCSA%3D%3D","US20220242450")</f>
        <v>US20220242450</v>
      </c>
      <c r="BD161" s="2" t="s">
        <v>3741</v>
      </c>
      <c r="BE161" s="2" t="s">
        <v>3742</v>
      </c>
      <c r="BF161" s="2" t="s">
        <v>3743</v>
      </c>
      <c r="BG161" s="2" t="str">
        <f>HYPERLINK("https://patentscout.innography.com/share/f_9ZCas6FU3H-Lv_OnRCSA%3D%3D/download", "Download PDF")</f>
        <v>Download PDF</v>
      </c>
      <c r="BH161" s="2" t="s">
        <v>3744</v>
      </c>
      <c r="BI161" s="2" t="s">
        <v>3728</v>
      </c>
      <c r="BJ161" s="2" t="s">
        <v>3745</v>
      </c>
      <c r="BK161" s="2" t="s">
        <v>3698</v>
      </c>
      <c r="BL161" s="2" t="s">
        <v>3698</v>
      </c>
      <c r="BM161" s="2"/>
      <c r="BN161" s="2"/>
      <c r="BO161" s="2"/>
      <c r="BP161" s="2"/>
      <c r="BQ161" s="2"/>
      <c r="BR161" s="2"/>
      <c r="BS161" s="2"/>
      <c r="BT161" s="2"/>
      <c r="BU161" s="2" t="s">
        <v>3746</v>
      </c>
      <c r="BV161" s="2"/>
      <c r="BW161" s="2"/>
      <c r="BX161" s="2"/>
      <c r="BY161" s="2"/>
      <c r="BZ161" s="2"/>
      <c r="CA161" s="2"/>
      <c r="CB161" s="2"/>
      <c r="CC161" s="2" t="s">
        <v>158</v>
      </c>
      <c r="CD161" s="2" t="str">
        <f>HYPERLINK("https://patentscout.innography.com/share/f_9ZCas6FU3H-Lv_OnRCSA%3D%3D", "Innography Link")</f>
        <v>Innography Link</v>
      </c>
      <c r="CE161" s="2"/>
      <c r="CF161" s="2"/>
      <c r="CG161" s="2"/>
      <c r="CH161" s="2"/>
      <c r="CI161" s="2"/>
      <c r="CK161" s="2" t="s">
        <v>3747</v>
      </c>
      <c r="CL161" s="2" t="s">
        <v>1561</v>
      </c>
      <c r="CM161" s="2" t="s">
        <v>1565</v>
      </c>
      <c r="CN161" s="2" t="s">
        <v>1575</v>
      </c>
      <c r="CO161" s="2" t="s">
        <v>3748</v>
      </c>
      <c r="CP161" s="2" t="s">
        <v>3749</v>
      </c>
    </row>
    <row r="162" spans="1:98" ht="152" customHeight="1" x14ac:dyDescent="0.45">
      <c r="A162" s="2">
        <v>3</v>
      </c>
      <c r="B162" s="2">
        <v>6</v>
      </c>
      <c r="C162" s="2" t="s">
        <v>3750</v>
      </c>
      <c r="D162" s="2" t="s">
        <v>3751</v>
      </c>
      <c r="E162" s="2" t="s">
        <v>3752</v>
      </c>
      <c r="F162" s="2" t="s">
        <v>3753</v>
      </c>
      <c r="G162" s="2" t="s">
        <v>3752</v>
      </c>
      <c r="H162" s="2" t="s">
        <v>3754</v>
      </c>
      <c r="I162" s="2" t="s">
        <v>3754</v>
      </c>
      <c r="J162" s="2" t="s">
        <v>3753</v>
      </c>
      <c r="K162" s="2" t="s">
        <v>3752</v>
      </c>
      <c r="L162" s="2" t="s">
        <v>3752</v>
      </c>
      <c r="M162" s="2" t="s">
        <v>3755</v>
      </c>
      <c r="N162" s="2" t="s">
        <v>3756</v>
      </c>
      <c r="O162" s="2"/>
      <c r="P162" s="2" t="s">
        <v>3757</v>
      </c>
      <c r="Q162" s="2" t="s">
        <v>3758</v>
      </c>
      <c r="R162" s="2" t="s">
        <v>3759</v>
      </c>
      <c r="S162" s="2" t="s">
        <v>3757</v>
      </c>
      <c r="T162" s="2">
        <v>83</v>
      </c>
      <c r="U162" s="2">
        <v>9</v>
      </c>
      <c r="V162" s="2" t="s">
        <v>3760</v>
      </c>
      <c r="W162" s="2"/>
      <c r="X162" s="2"/>
      <c r="Y162" s="2"/>
      <c r="Z162" s="2" t="s">
        <v>3761</v>
      </c>
      <c r="AA162" s="2" t="s">
        <v>3761</v>
      </c>
      <c r="AB162" s="2">
        <v>4</v>
      </c>
      <c r="AC162" s="2" t="s">
        <v>214</v>
      </c>
      <c r="AD162" s="2" t="s">
        <v>3762</v>
      </c>
      <c r="AE162" s="2">
        <v>240</v>
      </c>
      <c r="AF162" s="2" t="s">
        <v>180</v>
      </c>
      <c r="AG162" s="2"/>
      <c r="AH162" s="2"/>
      <c r="AI162" s="2" t="s">
        <v>3763</v>
      </c>
      <c r="AJ162" s="2"/>
      <c r="AK162" s="2" t="s">
        <v>1108</v>
      </c>
      <c r="AL162" s="2" t="s">
        <v>620</v>
      </c>
      <c r="AM162" s="2" t="s">
        <v>620</v>
      </c>
      <c r="AN162" s="2" t="s">
        <v>1109</v>
      </c>
      <c r="AO162" s="2" t="s">
        <v>3764</v>
      </c>
      <c r="AP162" s="2">
        <v>705034000</v>
      </c>
      <c r="AQ162" s="2">
        <v>705034000</v>
      </c>
      <c r="AR162" s="2" t="s">
        <v>253</v>
      </c>
      <c r="AS162" s="2">
        <v>41701403</v>
      </c>
      <c r="AT162" s="2" t="s">
        <v>3765</v>
      </c>
      <c r="AU162" s="2"/>
      <c r="AV162" s="2"/>
      <c r="AW162" s="2" t="s">
        <v>1111</v>
      </c>
      <c r="AX162" s="2">
        <v>33650528</v>
      </c>
      <c r="AY162" s="2" t="s">
        <v>3766</v>
      </c>
      <c r="AZ162" s="2" t="s">
        <v>3767</v>
      </c>
      <c r="BA162" s="2" t="s">
        <v>3768</v>
      </c>
      <c r="BB162" s="2">
        <v>0</v>
      </c>
      <c r="BC162" s="3" t="str">
        <f>HYPERLINK("https://patentscout.innography.com/share/dj3peq__SJneh53EOxuvcA%3D%3D","JP2010015333")</f>
        <v>JP2010015333</v>
      </c>
      <c r="BD162" s="2" t="s">
        <v>3769</v>
      </c>
      <c r="BE162" s="2" t="s">
        <v>3770</v>
      </c>
      <c r="BF162" s="2" t="s">
        <v>3771</v>
      </c>
      <c r="BG162" s="2" t="str">
        <f>HYPERLINK("https://patentscout.innography.com/share/dj3peq__SJneh53EOxuvcA%3D%3D/download", "Download PDF")</f>
        <v>Download PDF</v>
      </c>
      <c r="BH162" s="2" t="s">
        <v>3772</v>
      </c>
      <c r="BI162" s="2"/>
      <c r="BJ162" s="2" t="s">
        <v>3773</v>
      </c>
      <c r="BK162" s="2" t="s">
        <v>3773</v>
      </c>
      <c r="BL162" s="2" t="s">
        <v>3773</v>
      </c>
      <c r="BM162" s="2"/>
      <c r="BN162" s="2"/>
      <c r="BO162" s="2"/>
      <c r="BP162" s="2"/>
      <c r="BQ162" s="2"/>
      <c r="BR162" s="2"/>
      <c r="BS162" s="2"/>
      <c r="BT162" s="2"/>
      <c r="BU162" s="2"/>
      <c r="BV162" s="2" t="s">
        <v>3774</v>
      </c>
      <c r="BW162" s="2"/>
      <c r="BX162" s="2"/>
      <c r="BY162" s="2"/>
      <c r="BZ162" s="2"/>
      <c r="CA162" s="2"/>
      <c r="CB162" s="2"/>
      <c r="CC162" s="2" t="s">
        <v>1120</v>
      </c>
      <c r="CD162" s="2" t="str">
        <f>HYPERLINK("https://patentscout.innography.com/share/dj3peq__SJneh53EOxuvcA%3D%3D", "Innography Link")</f>
        <v>Innography Link</v>
      </c>
      <c r="CE162" s="2"/>
      <c r="CF162" s="2"/>
      <c r="CG162" s="2"/>
      <c r="CH162" s="2"/>
      <c r="CI162" s="2"/>
      <c r="CK162" s="2" t="s">
        <v>3775</v>
      </c>
      <c r="CL162" s="2" t="s">
        <v>3776</v>
      </c>
    </row>
    <row r="163" spans="1:98" ht="152" customHeight="1" x14ac:dyDescent="0.45">
      <c r="A163" s="2">
        <v>0</v>
      </c>
      <c r="B163" s="2">
        <v>0</v>
      </c>
      <c r="C163" s="2"/>
      <c r="D163" s="2"/>
      <c r="E163" s="2" t="s">
        <v>3752</v>
      </c>
      <c r="F163" s="2" t="s">
        <v>3753</v>
      </c>
      <c r="G163" s="2" t="s">
        <v>3753</v>
      </c>
      <c r="H163" s="2" t="s">
        <v>3754</v>
      </c>
      <c r="I163" s="2" t="s">
        <v>3754</v>
      </c>
      <c r="J163" s="2" t="s">
        <v>3777</v>
      </c>
      <c r="K163" s="2" t="s">
        <v>3752</v>
      </c>
      <c r="L163" s="2" t="s">
        <v>3752</v>
      </c>
      <c r="M163" s="2" t="s">
        <v>3778</v>
      </c>
      <c r="N163" s="2" t="s">
        <v>3779</v>
      </c>
      <c r="O163" s="2"/>
      <c r="P163" s="2" t="s">
        <v>3757</v>
      </c>
      <c r="Q163" s="2" t="s">
        <v>3758</v>
      </c>
      <c r="R163" s="2" t="s">
        <v>3759</v>
      </c>
      <c r="S163" s="2" t="s">
        <v>3757</v>
      </c>
      <c r="T163" s="2">
        <v>83</v>
      </c>
      <c r="U163" s="2">
        <v>9</v>
      </c>
      <c r="V163" s="2" t="s">
        <v>3760</v>
      </c>
      <c r="W163" s="2"/>
      <c r="X163" s="2"/>
      <c r="Y163" s="2"/>
      <c r="Z163" s="2" t="s">
        <v>3780</v>
      </c>
      <c r="AA163" s="2" t="s">
        <v>3780</v>
      </c>
      <c r="AB163" s="2">
        <v>4</v>
      </c>
      <c r="AC163" s="2" t="s">
        <v>250</v>
      </c>
      <c r="AD163" s="2" t="s">
        <v>3762</v>
      </c>
      <c r="AE163" s="2">
        <v>328</v>
      </c>
      <c r="AF163" s="2" t="s">
        <v>180</v>
      </c>
      <c r="AG163" s="2"/>
      <c r="AH163" s="2"/>
      <c r="AI163" s="2" t="s">
        <v>3773</v>
      </c>
      <c r="AJ163" s="2"/>
      <c r="AK163" s="2" t="s">
        <v>1108</v>
      </c>
      <c r="AL163" s="2" t="s">
        <v>620</v>
      </c>
      <c r="AM163" s="2" t="s">
        <v>620</v>
      </c>
      <c r="AN163" s="2" t="s">
        <v>1109</v>
      </c>
      <c r="AO163" s="2" t="s">
        <v>3764</v>
      </c>
      <c r="AP163" s="2">
        <v>705034000</v>
      </c>
      <c r="AQ163" s="2">
        <v>705034000</v>
      </c>
      <c r="AR163" s="2" t="s">
        <v>253</v>
      </c>
      <c r="AS163" s="2">
        <v>41701403</v>
      </c>
      <c r="AT163" s="2" t="s">
        <v>3765</v>
      </c>
      <c r="AU163" s="2"/>
      <c r="AV163" s="2"/>
      <c r="AW163" s="2" t="s">
        <v>3781</v>
      </c>
      <c r="AX163" s="2">
        <v>33650528</v>
      </c>
      <c r="AY163" s="2" t="s">
        <v>3766</v>
      </c>
      <c r="AZ163" s="2" t="s">
        <v>3767</v>
      </c>
      <c r="BA163" s="2" t="s">
        <v>255</v>
      </c>
      <c r="BB163" s="2">
        <v>0</v>
      </c>
      <c r="BC163" s="3" t="str">
        <f>HYPERLINK("https://patentscout.innography.com/share/jSTlnBEBoeTFCtTl_wTxBg%3D%3D","JP4848399")</f>
        <v>JP4848399</v>
      </c>
      <c r="BD163" s="2" t="s">
        <v>3782</v>
      </c>
      <c r="BE163" s="2" t="s">
        <v>3770</v>
      </c>
      <c r="BF163" s="2" t="s">
        <v>3783</v>
      </c>
      <c r="BG163" s="2" t="str">
        <f>HYPERLINK("https://patentscout.innography.com/share/jSTlnBEBoeTFCtTl_wTxBg%3D%3D/download", "Download PDF")</f>
        <v>Download PDF</v>
      </c>
      <c r="BH163" s="2" t="s">
        <v>3784</v>
      </c>
      <c r="BI163" s="2"/>
      <c r="BJ163" s="2" t="s">
        <v>3773</v>
      </c>
      <c r="BK163" s="2" t="s">
        <v>3773</v>
      </c>
      <c r="BL163" s="2" t="s">
        <v>3773</v>
      </c>
      <c r="BM163" s="2"/>
      <c r="BN163" s="2"/>
      <c r="BO163" s="2"/>
      <c r="BP163" s="2"/>
      <c r="BQ163" s="2"/>
      <c r="BR163" s="2"/>
      <c r="BS163" s="2"/>
      <c r="BT163" s="2"/>
      <c r="BU163" s="2"/>
      <c r="BV163" s="2" t="s">
        <v>3774</v>
      </c>
      <c r="BW163" s="2"/>
      <c r="BX163" s="2"/>
      <c r="BY163" s="2"/>
      <c r="BZ163" s="2"/>
      <c r="CA163" s="2"/>
      <c r="CB163" s="2"/>
      <c r="CC163" s="2" t="s">
        <v>1971</v>
      </c>
      <c r="CD163" s="2" t="str">
        <f>HYPERLINK("https://patentscout.innography.com/share/jSTlnBEBoeTFCtTl_wTxBg%3D%3D", "Innography Link")</f>
        <v>Innography Link</v>
      </c>
      <c r="CE163" s="2"/>
      <c r="CF163" s="2"/>
      <c r="CG163" s="2"/>
      <c r="CH163" s="2"/>
      <c r="CI163" s="2"/>
      <c r="CK163" s="2" t="s">
        <v>3785</v>
      </c>
      <c r="CL163" s="2" t="s">
        <v>3786</v>
      </c>
    </row>
    <row r="164" spans="1:98" ht="152" customHeight="1" x14ac:dyDescent="0.45">
      <c r="A164" s="2">
        <v>0</v>
      </c>
      <c r="B164" s="2">
        <v>0</v>
      </c>
      <c r="C164" s="2"/>
      <c r="D164" s="2"/>
      <c r="E164" s="2" t="s">
        <v>3677</v>
      </c>
      <c r="F164" s="2"/>
      <c r="G164" s="2" t="s">
        <v>3677</v>
      </c>
      <c r="H164" s="2" t="s">
        <v>3675</v>
      </c>
      <c r="I164" s="2" t="s">
        <v>3675</v>
      </c>
      <c r="J164" s="2" t="s">
        <v>3787</v>
      </c>
      <c r="K164" s="2" t="s">
        <v>3677</v>
      </c>
      <c r="L164" s="2" t="s">
        <v>3677</v>
      </c>
      <c r="M164" s="2"/>
      <c r="N164" s="2" t="s">
        <v>3788</v>
      </c>
      <c r="O164" s="2"/>
      <c r="P164" s="2" t="s">
        <v>3680</v>
      </c>
      <c r="Q164" s="2" t="s">
        <v>3680</v>
      </c>
      <c r="R164" s="2" t="s">
        <v>3681</v>
      </c>
      <c r="S164" s="2" t="s">
        <v>3789</v>
      </c>
      <c r="T164" s="2">
        <v>83</v>
      </c>
      <c r="U164" s="2">
        <v>5</v>
      </c>
      <c r="V164" s="2" t="s">
        <v>3790</v>
      </c>
      <c r="W164" s="2"/>
      <c r="X164" s="2"/>
      <c r="Y164" s="2"/>
      <c r="Z164" s="2"/>
      <c r="AA164" s="2"/>
      <c r="AB164" s="2">
        <v>105</v>
      </c>
      <c r="AC164" s="2" t="s">
        <v>3791</v>
      </c>
      <c r="AD164" s="2" t="s">
        <v>3685</v>
      </c>
      <c r="AE164" s="2">
        <v>1</v>
      </c>
      <c r="AF164" s="2" t="s">
        <v>180</v>
      </c>
      <c r="AG164" s="2"/>
      <c r="AH164" s="2"/>
      <c r="AI164" s="2"/>
      <c r="AJ164" s="2"/>
      <c r="AK164" s="2" t="s">
        <v>3792</v>
      </c>
      <c r="AL164" s="2" t="s">
        <v>3687</v>
      </c>
      <c r="AM164" s="2" t="s">
        <v>3688</v>
      </c>
      <c r="AN164" s="2" t="s">
        <v>3793</v>
      </c>
      <c r="AO164" s="2" t="s">
        <v>3793</v>
      </c>
      <c r="AP164" s="2"/>
      <c r="AQ164" s="2"/>
      <c r="AR164" s="2" t="s">
        <v>253</v>
      </c>
      <c r="AS164" s="2">
        <v>67384659</v>
      </c>
      <c r="AT164" s="2" t="s">
        <v>3689</v>
      </c>
      <c r="AU164" s="2"/>
      <c r="AV164" s="2"/>
      <c r="AW164" s="2" t="s">
        <v>3794</v>
      </c>
      <c r="AX164" s="2">
        <v>71054864</v>
      </c>
      <c r="AY164" s="2" t="s">
        <v>3690</v>
      </c>
      <c r="AZ164" s="2" t="s">
        <v>3795</v>
      </c>
      <c r="BA164" s="2" t="s">
        <v>255</v>
      </c>
      <c r="BB164" s="2">
        <v>0</v>
      </c>
      <c r="BC164" s="3" t="str">
        <f>HYPERLINK("https://patentscout.innography.com/share/KFIgx8B9GiWF81a67pMkOg%3D%3D","GB201906813")</f>
        <v>GB201906813</v>
      </c>
      <c r="BD164" s="2" t="s">
        <v>3796</v>
      </c>
      <c r="BE164" s="2" t="s">
        <v>3797</v>
      </c>
      <c r="BF164" s="2" t="s">
        <v>3798</v>
      </c>
      <c r="BG164" s="2" t="str">
        <f>HYPERLINK("https://patentscout.innography.com/share/KFIgx8B9GiWF81a67pMkOg%3D%3D/download", "Download PDF")</f>
        <v>Download PDF</v>
      </c>
      <c r="BH164" s="2" t="s">
        <v>3799</v>
      </c>
      <c r="BI164" s="2"/>
      <c r="BJ164" s="2" t="s">
        <v>3698</v>
      </c>
      <c r="BK164" s="2" t="s">
        <v>3698</v>
      </c>
      <c r="BL164" s="2" t="s">
        <v>3698</v>
      </c>
      <c r="BM164" s="2"/>
      <c r="BN164" s="2"/>
      <c r="BO164" s="2"/>
      <c r="BP164" s="2"/>
      <c r="BQ164" s="2"/>
      <c r="BR164" s="2"/>
      <c r="BS164" s="2"/>
      <c r="BT164" s="2"/>
      <c r="BU164" s="2"/>
      <c r="BV164" s="2"/>
      <c r="BW164" s="2"/>
      <c r="BX164" s="2"/>
      <c r="BY164" s="2"/>
      <c r="BZ164" s="2"/>
      <c r="CA164" s="2"/>
      <c r="CB164" s="2"/>
      <c r="CC164" s="2" t="s">
        <v>3800</v>
      </c>
      <c r="CD164" s="2" t="str">
        <f>HYPERLINK("https://patentscout.innography.com/share/KFIgx8B9GiWF81a67pMkOg%3D%3D", "Innography Link")</f>
        <v>Innography Link</v>
      </c>
      <c r="CE164" s="2"/>
      <c r="CF164" s="2"/>
      <c r="CG164" s="2"/>
      <c r="CH164" s="2"/>
      <c r="CI164" s="2"/>
    </row>
    <row r="165" spans="1:98" ht="152" customHeight="1" x14ac:dyDescent="0.45">
      <c r="A165" s="2">
        <v>1</v>
      </c>
      <c r="B165" s="2">
        <v>2</v>
      </c>
      <c r="C165" s="2" t="s">
        <v>3801</v>
      </c>
      <c r="D165" s="2" t="s">
        <v>3802</v>
      </c>
      <c r="E165" s="2" t="s">
        <v>3803</v>
      </c>
      <c r="F165" s="2"/>
      <c r="G165" s="2" t="s">
        <v>3803</v>
      </c>
      <c r="H165" s="2" t="s">
        <v>3804</v>
      </c>
      <c r="I165" s="2" t="s">
        <v>3805</v>
      </c>
      <c r="J165" s="2" t="s">
        <v>3806</v>
      </c>
      <c r="K165" s="2" t="s">
        <v>3807</v>
      </c>
      <c r="L165" s="2" t="s">
        <v>3807</v>
      </c>
      <c r="M165" s="2" t="s">
        <v>3808</v>
      </c>
      <c r="N165" s="2" t="s">
        <v>3809</v>
      </c>
      <c r="O165" s="2" t="s">
        <v>3810</v>
      </c>
      <c r="P165" s="2" t="s">
        <v>3811</v>
      </c>
      <c r="Q165" s="2" t="s">
        <v>3812</v>
      </c>
      <c r="R165" s="2" t="s">
        <v>3813</v>
      </c>
      <c r="S165" s="2" t="s">
        <v>3811</v>
      </c>
      <c r="T165" s="2">
        <v>83</v>
      </c>
      <c r="U165" s="2">
        <v>51</v>
      </c>
      <c r="V165" s="2" t="s">
        <v>3814</v>
      </c>
      <c r="W165" s="2"/>
      <c r="X165" s="2"/>
      <c r="Y165" s="2"/>
      <c r="Z165" s="2" t="s">
        <v>3815</v>
      </c>
      <c r="AA165" s="2" t="s">
        <v>3816</v>
      </c>
      <c r="AB165" s="2">
        <v>34</v>
      </c>
      <c r="AC165" s="2" t="s">
        <v>214</v>
      </c>
      <c r="AD165" s="2" t="s">
        <v>3817</v>
      </c>
      <c r="AE165" s="2">
        <v>89</v>
      </c>
      <c r="AF165" s="2" t="s">
        <v>141</v>
      </c>
      <c r="AG165" s="2"/>
      <c r="AH165" s="2"/>
      <c r="AI165" s="2"/>
      <c r="AJ165" s="2"/>
      <c r="AK165" s="2" t="s">
        <v>1816</v>
      </c>
      <c r="AL165" s="2" t="s">
        <v>3818</v>
      </c>
      <c r="AM165" s="2" t="s">
        <v>3819</v>
      </c>
      <c r="AN165" s="2" t="s">
        <v>3820</v>
      </c>
      <c r="AO165" s="2" t="s">
        <v>3821</v>
      </c>
      <c r="AP165" s="2">
        <v>358296000</v>
      </c>
      <c r="AQ165" s="2">
        <v>358296000</v>
      </c>
      <c r="AR165" s="2" t="s">
        <v>185</v>
      </c>
      <c r="AS165" s="2">
        <v>64903003</v>
      </c>
      <c r="AT165" s="2" t="s">
        <v>3822</v>
      </c>
      <c r="AU165" s="2"/>
      <c r="AV165" s="2"/>
      <c r="AW165" s="2" t="s">
        <v>1821</v>
      </c>
      <c r="AX165" s="2">
        <v>68460202</v>
      </c>
      <c r="AY165" s="2" t="s">
        <v>3823</v>
      </c>
      <c r="AZ165" s="2" t="s">
        <v>3824</v>
      </c>
      <c r="BA165" s="2" t="s">
        <v>3825</v>
      </c>
      <c r="BB165" s="2">
        <v>0</v>
      </c>
      <c r="BC165" s="3" t="str">
        <f>HYPERLINK("https://patentscout.innography.com/share/_gGFf2uoPqs1sebdPgXBOg%3D%3D","CN110800305")</f>
        <v>CN110800305</v>
      </c>
      <c r="BD165" s="2" t="s">
        <v>3826</v>
      </c>
      <c r="BE165" s="2" t="s">
        <v>3827</v>
      </c>
      <c r="BF165" s="2" t="s">
        <v>3828</v>
      </c>
      <c r="BG165" s="2" t="str">
        <f>HYPERLINK("https://patentscout.innography.com/share/_gGFf2uoPqs1sebdPgXBOg%3D%3D/download", "Download PDF")</f>
        <v>Download PDF</v>
      </c>
      <c r="BH165" s="2" t="s">
        <v>3829</v>
      </c>
      <c r="BI165" s="2" t="s">
        <v>3830</v>
      </c>
      <c r="BJ165" s="2" t="s">
        <v>3831</v>
      </c>
      <c r="BK165" s="2" t="s">
        <v>3832</v>
      </c>
      <c r="BL165" s="2" t="s">
        <v>3832</v>
      </c>
      <c r="BM165" s="2"/>
      <c r="BN165" s="2"/>
      <c r="BO165" s="2"/>
      <c r="BP165" s="2"/>
      <c r="BQ165" s="2"/>
      <c r="BR165" s="2"/>
      <c r="BS165" s="2"/>
      <c r="BT165" s="2"/>
      <c r="BU165" s="2" t="s">
        <v>3833</v>
      </c>
      <c r="BV165" s="2" t="s">
        <v>3834</v>
      </c>
      <c r="BW165" s="2"/>
      <c r="BX165" s="2"/>
      <c r="BY165" s="2"/>
      <c r="BZ165" s="2"/>
      <c r="CA165" s="2"/>
      <c r="CB165" s="2"/>
      <c r="CC165" s="2" t="s">
        <v>1829</v>
      </c>
      <c r="CD165" s="2" t="str">
        <f>HYPERLINK("https://patentscout.innography.com/share/_gGFf2uoPqs1sebdPgXBOg%3D%3D", "Innography Link")</f>
        <v>Innography Link</v>
      </c>
      <c r="CE165" s="2"/>
      <c r="CF165" s="2"/>
      <c r="CG165" s="2"/>
      <c r="CH165" s="2"/>
      <c r="CI165" s="2"/>
      <c r="CK165" s="2" t="s">
        <v>3835</v>
      </c>
      <c r="CL165" s="2" t="s">
        <v>3836</v>
      </c>
      <c r="CM165" s="2" t="s">
        <v>3837</v>
      </c>
      <c r="CN165" s="2" t="s">
        <v>3838</v>
      </c>
      <c r="CO165" s="2" t="s">
        <v>3839</v>
      </c>
      <c r="CP165" s="2" t="s">
        <v>3840</v>
      </c>
      <c r="CQ165" s="2" t="s">
        <v>3841</v>
      </c>
      <c r="CR165" s="2" t="s">
        <v>3842</v>
      </c>
    </row>
    <row r="166" spans="1:98" ht="152" customHeight="1" x14ac:dyDescent="0.45">
      <c r="A166" s="2">
        <v>0</v>
      </c>
      <c r="B166" s="2">
        <v>6</v>
      </c>
      <c r="C166" s="2" t="s">
        <v>3843</v>
      </c>
      <c r="D166" s="2"/>
      <c r="E166" s="2" t="s">
        <v>1556</v>
      </c>
      <c r="F166" s="2" t="s">
        <v>3844</v>
      </c>
      <c r="G166" s="2" t="s">
        <v>1556</v>
      </c>
      <c r="H166" s="2" t="s">
        <v>3804</v>
      </c>
      <c r="I166" s="2" t="s">
        <v>3805</v>
      </c>
      <c r="J166" s="2" t="s">
        <v>3844</v>
      </c>
      <c r="K166" s="2" t="s">
        <v>3807</v>
      </c>
      <c r="L166" s="2" t="s">
        <v>3807</v>
      </c>
      <c r="M166" s="2" t="s">
        <v>3845</v>
      </c>
      <c r="N166" s="2" t="s">
        <v>3846</v>
      </c>
      <c r="O166" s="2" t="s">
        <v>3847</v>
      </c>
      <c r="P166" s="2" t="s">
        <v>3811</v>
      </c>
      <c r="Q166" s="2" t="s">
        <v>3812</v>
      </c>
      <c r="R166" s="2" t="s">
        <v>3813</v>
      </c>
      <c r="S166" s="2" t="s">
        <v>3811</v>
      </c>
      <c r="T166" s="2">
        <v>83</v>
      </c>
      <c r="U166" s="2">
        <v>23</v>
      </c>
      <c r="V166" s="2" t="s">
        <v>3848</v>
      </c>
      <c r="W166" s="2"/>
      <c r="X166" s="2"/>
      <c r="Y166" s="2"/>
      <c r="Z166" s="2" t="s">
        <v>3849</v>
      </c>
      <c r="AA166" s="2" t="s">
        <v>3850</v>
      </c>
      <c r="AB166" s="2">
        <v>34</v>
      </c>
      <c r="AC166" s="2" t="s">
        <v>214</v>
      </c>
      <c r="AD166" s="2" t="s">
        <v>3817</v>
      </c>
      <c r="AE166" s="2">
        <v>104</v>
      </c>
      <c r="AF166" s="2" t="s">
        <v>180</v>
      </c>
      <c r="AG166" s="2"/>
      <c r="AH166" s="2"/>
      <c r="AI166" s="2" t="s">
        <v>3851</v>
      </c>
      <c r="AJ166" s="2"/>
      <c r="AK166" s="2" t="s">
        <v>1816</v>
      </c>
      <c r="AL166" s="2" t="s">
        <v>3818</v>
      </c>
      <c r="AM166" s="2" t="s">
        <v>3852</v>
      </c>
      <c r="AN166" s="2" t="s">
        <v>3853</v>
      </c>
      <c r="AO166" s="2" t="s">
        <v>3854</v>
      </c>
      <c r="AP166" s="2">
        <v>358296000</v>
      </c>
      <c r="AQ166" s="2">
        <v>358296000</v>
      </c>
      <c r="AR166" s="2" t="s">
        <v>146</v>
      </c>
      <c r="AS166" s="2">
        <v>64902960</v>
      </c>
      <c r="AT166" s="2" t="s">
        <v>3855</v>
      </c>
      <c r="AU166" s="2"/>
      <c r="AV166" s="2"/>
      <c r="AW166" s="2" t="s">
        <v>1821</v>
      </c>
      <c r="AX166" s="2">
        <v>68460199</v>
      </c>
      <c r="AY166" s="2" t="s">
        <v>3856</v>
      </c>
      <c r="AZ166" s="2" t="s">
        <v>3857</v>
      </c>
      <c r="BA166" s="2" t="s">
        <v>3858</v>
      </c>
      <c r="BB166" s="2">
        <v>0</v>
      </c>
      <c r="BC166" s="3" t="str">
        <f>HYPERLINK("https://patentscout.innography.com/share/syADXQnytVto99pD1IXpvg%3D%3D","CN110832877")</f>
        <v>CN110832877</v>
      </c>
      <c r="BD166" s="2" t="s">
        <v>3859</v>
      </c>
      <c r="BE166" s="2" t="s">
        <v>3860</v>
      </c>
      <c r="BF166" s="2" t="s">
        <v>3861</v>
      </c>
      <c r="BG166" s="2" t="str">
        <f>HYPERLINK("https://patentscout.innography.com/share/syADXQnytVto99pD1IXpvg%3D%3D/download", "Download PDF")</f>
        <v>Download PDF</v>
      </c>
      <c r="BH166" s="2" t="s">
        <v>3862</v>
      </c>
      <c r="BI166" s="2" t="s">
        <v>3863</v>
      </c>
      <c r="BJ166" s="2" t="s">
        <v>3864</v>
      </c>
      <c r="BK166" s="2" t="s">
        <v>3865</v>
      </c>
      <c r="BL166" s="2" t="s">
        <v>3865</v>
      </c>
      <c r="BM166" s="2"/>
      <c r="BN166" s="2"/>
      <c r="BO166" s="2"/>
      <c r="BP166" s="2"/>
      <c r="BQ166" s="2"/>
      <c r="BR166" s="2"/>
      <c r="BS166" s="2"/>
      <c r="BT166" s="2"/>
      <c r="BU166" s="2" t="s">
        <v>3833</v>
      </c>
      <c r="BV166" s="2" t="s">
        <v>3866</v>
      </c>
      <c r="BW166" s="2"/>
      <c r="BX166" s="2"/>
      <c r="BY166" s="2"/>
      <c r="BZ166" s="2"/>
      <c r="CA166" s="2"/>
      <c r="CB166" s="2"/>
      <c r="CC166" s="2" t="s">
        <v>1829</v>
      </c>
      <c r="CD166" s="2" t="str">
        <f>HYPERLINK("https://patentscout.innography.com/share/syADXQnytVto99pD1IXpvg%3D%3D", "Innography Link")</f>
        <v>Innography Link</v>
      </c>
      <c r="CE166" s="2"/>
      <c r="CF166" s="2"/>
      <c r="CG166" s="2"/>
      <c r="CH166" s="2"/>
      <c r="CI166" s="2"/>
      <c r="CK166" s="2" t="s">
        <v>3867</v>
      </c>
      <c r="CL166" s="2" t="s">
        <v>3868</v>
      </c>
      <c r="CM166" s="2" t="s">
        <v>3869</v>
      </c>
      <c r="CN166" s="2" t="s">
        <v>3870</v>
      </c>
      <c r="CO166" s="2" t="s">
        <v>3871</v>
      </c>
      <c r="CP166" s="2" t="s">
        <v>3872</v>
      </c>
      <c r="CQ166" s="2" t="s">
        <v>3873</v>
      </c>
      <c r="CR166" s="2" t="s">
        <v>3874</v>
      </c>
    </row>
    <row r="167" spans="1:98" ht="152" customHeight="1" x14ac:dyDescent="0.45">
      <c r="A167" s="2">
        <v>0</v>
      </c>
      <c r="B167" s="2">
        <v>0</v>
      </c>
      <c r="C167" s="2"/>
      <c r="D167" s="2"/>
      <c r="E167" s="2" t="s">
        <v>1556</v>
      </c>
      <c r="F167" s="2" t="s">
        <v>3844</v>
      </c>
      <c r="G167" s="2" t="s">
        <v>3844</v>
      </c>
      <c r="H167" s="2" t="s">
        <v>3804</v>
      </c>
      <c r="I167" s="2" t="s">
        <v>3805</v>
      </c>
      <c r="J167" s="2" t="s">
        <v>3875</v>
      </c>
      <c r="K167" s="2" t="s">
        <v>3807</v>
      </c>
      <c r="L167" s="2" t="s">
        <v>3807</v>
      </c>
      <c r="M167" s="2" t="s">
        <v>3845</v>
      </c>
      <c r="N167" s="2" t="s">
        <v>3846</v>
      </c>
      <c r="O167" s="2" t="s">
        <v>3847</v>
      </c>
      <c r="P167" s="2"/>
      <c r="Q167" s="2" t="s">
        <v>3812</v>
      </c>
      <c r="R167" s="2" t="s">
        <v>3813</v>
      </c>
      <c r="S167" s="2"/>
      <c r="T167" s="2">
        <v>83</v>
      </c>
      <c r="U167" s="2">
        <v>40</v>
      </c>
      <c r="V167" s="2" t="s">
        <v>3848</v>
      </c>
      <c r="W167" s="2"/>
      <c r="X167" s="2"/>
      <c r="Y167" s="2"/>
      <c r="Z167" s="2" t="s">
        <v>3876</v>
      </c>
      <c r="AA167" s="2" t="s">
        <v>3877</v>
      </c>
      <c r="AB167" s="2">
        <v>30</v>
      </c>
      <c r="AC167" s="2" t="s">
        <v>3878</v>
      </c>
      <c r="AD167" s="2" t="s">
        <v>3817</v>
      </c>
      <c r="AE167" s="2">
        <v>207</v>
      </c>
      <c r="AF167" s="2" t="s">
        <v>141</v>
      </c>
      <c r="AG167" s="2"/>
      <c r="AH167" s="2"/>
      <c r="AI167" s="2" t="s">
        <v>3864</v>
      </c>
      <c r="AJ167" s="2"/>
      <c r="AK167" s="2" t="s">
        <v>1816</v>
      </c>
      <c r="AL167" s="2" t="s">
        <v>3818</v>
      </c>
      <c r="AM167" s="2" t="s">
        <v>3852</v>
      </c>
      <c r="AN167" s="2" t="s">
        <v>3853</v>
      </c>
      <c r="AO167" s="2" t="s">
        <v>3854</v>
      </c>
      <c r="AP167" s="2">
        <v>358296000</v>
      </c>
      <c r="AQ167" s="2">
        <v>358296000</v>
      </c>
      <c r="AR167" s="2" t="s">
        <v>275</v>
      </c>
      <c r="AS167" s="2">
        <v>64902960</v>
      </c>
      <c r="AT167" s="2" t="s">
        <v>3855</v>
      </c>
      <c r="AU167" s="2"/>
      <c r="AV167" s="2"/>
      <c r="AW167" s="2" t="s">
        <v>3879</v>
      </c>
      <c r="AX167" s="2">
        <v>68460199</v>
      </c>
      <c r="AY167" s="2" t="s">
        <v>3856</v>
      </c>
      <c r="AZ167" s="2" t="s">
        <v>3857</v>
      </c>
      <c r="BA167" s="2" t="s">
        <v>3880</v>
      </c>
      <c r="BB167" s="2">
        <v>0</v>
      </c>
      <c r="BC167" s="3" t="str">
        <f>HYPERLINK("https://patentscout.innography.com/share/OJ3sy4nWERQ1-fZm4nX7Kg%3D%3D","CN110832877")</f>
        <v>CN110832877</v>
      </c>
      <c r="BD167" s="2" t="s">
        <v>3881</v>
      </c>
      <c r="BE167" s="2" t="s">
        <v>3860</v>
      </c>
      <c r="BF167" s="2" t="s">
        <v>3882</v>
      </c>
      <c r="BG167" s="2" t="str">
        <f>HYPERLINK("https://patentscout.innography.com/share/OJ3sy4nWERQ1-fZm4nX7Kg%3D%3D/download", "Download PDF")</f>
        <v>Download PDF</v>
      </c>
      <c r="BH167" s="2" t="s">
        <v>3883</v>
      </c>
      <c r="BI167" s="2" t="s">
        <v>3863</v>
      </c>
      <c r="BJ167" s="2" t="s">
        <v>3864</v>
      </c>
      <c r="BK167" s="2" t="s">
        <v>3865</v>
      </c>
      <c r="BL167" s="2" t="s">
        <v>3865</v>
      </c>
      <c r="BM167" s="2"/>
      <c r="BN167" s="2"/>
      <c r="BO167" s="2"/>
      <c r="BP167" s="2"/>
      <c r="BQ167" s="2"/>
      <c r="BR167" s="2"/>
      <c r="BS167" s="2"/>
      <c r="BT167" s="2"/>
      <c r="BU167" s="2"/>
      <c r="BV167" s="2" t="s">
        <v>3834</v>
      </c>
      <c r="BW167" s="2"/>
      <c r="BX167" s="2"/>
      <c r="BY167" s="2"/>
      <c r="BZ167" s="2"/>
      <c r="CA167" s="2"/>
      <c r="CB167" s="2"/>
      <c r="CC167" s="2" t="s">
        <v>3884</v>
      </c>
      <c r="CD167" s="2" t="str">
        <f>HYPERLINK("https://patentscout.innography.com/share/OJ3sy4nWERQ1-fZm4nX7Kg%3D%3D", "Innography Link")</f>
        <v>Innography Link</v>
      </c>
      <c r="CE167" s="2"/>
      <c r="CF167" s="2"/>
      <c r="CG167" s="2"/>
      <c r="CH167" s="2"/>
      <c r="CI167" s="2"/>
      <c r="CK167" s="2" t="s">
        <v>3885</v>
      </c>
      <c r="CL167" s="2" t="s">
        <v>3886</v>
      </c>
      <c r="CM167" s="2" t="s">
        <v>3887</v>
      </c>
      <c r="CN167" s="2" t="s">
        <v>3888</v>
      </c>
      <c r="CO167" s="2" t="s">
        <v>3889</v>
      </c>
      <c r="CP167" s="2" t="s">
        <v>3890</v>
      </c>
      <c r="CQ167" s="2" t="s">
        <v>3891</v>
      </c>
      <c r="CR167" s="2" t="s">
        <v>3892</v>
      </c>
    </row>
    <row r="168" spans="1:98" ht="152" customHeight="1" x14ac:dyDescent="0.45">
      <c r="A168" s="2">
        <v>0</v>
      </c>
      <c r="B168" s="2">
        <v>0</v>
      </c>
      <c r="C168" s="2"/>
      <c r="D168" s="2"/>
      <c r="E168" s="2" t="s">
        <v>3893</v>
      </c>
      <c r="F168" s="2"/>
      <c r="G168" s="2" t="s">
        <v>3893</v>
      </c>
      <c r="H168" s="2" t="s">
        <v>3894</v>
      </c>
      <c r="I168" s="2" t="s">
        <v>3894</v>
      </c>
      <c r="J168" s="2" t="s">
        <v>3895</v>
      </c>
      <c r="K168" s="2" t="s">
        <v>3893</v>
      </c>
      <c r="L168" s="2" t="s">
        <v>3893</v>
      </c>
      <c r="M168" s="2"/>
      <c r="N168" s="2" t="s">
        <v>3896</v>
      </c>
      <c r="O168" s="2"/>
      <c r="P168" s="2" t="s">
        <v>3680</v>
      </c>
      <c r="Q168" s="2" t="s">
        <v>3680</v>
      </c>
      <c r="R168" s="2" t="s">
        <v>3681</v>
      </c>
      <c r="S168" s="2" t="s">
        <v>3680</v>
      </c>
      <c r="T168" s="2">
        <v>83</v>
      </c>
      <c r="U168" s="2">
        <v>5</v>
      </c>
      <c r="V168" s="2" t="s">
        <v>3897</v>
      </c>
      <c r="W168" s="2"/>
      <c r="X168" s="2"/>
      <c r="Y168" s="2"/>
      <c r="Z168" s="2"/>
      <c r="AA168" s="2"/>
      <c r="AB168" s="2">
        <v>38</v>
      </c>
      <c r="AC168" s="2" t="s">
        <v>3791</v>
      </c>
      <c r="AD168" s="2"/>
      <c r="AE168" s="2">
        <v>1</v>
      </c>
      <c r="AF168" s="2" t="s">
        <v>180</v>
      </c>
      <c r="AG168" s="2"/>
      <c r="AH168" s="2"/>
      <c r="AI168" s="2"/>
      <c r="AJ168" s="2"/>
      <c r="AK168" s="2" t="s">
        <v>3792</v>
      </c>
      <c r="AL168" s="2" t="s">
        <v>3898</v>
      </c>
      <c r="AM168" s="2" t="s">
        <v>3899</v>
      </c>
      <c r="AN168" s="2" t="s">
        <v>3793</v>
      </c>
      <c r="AO168" s="2" t="s">
        <v>3793</v>
      </c>
      <c r="AP168" s="2"/>
      <c r="AQ168" s="2"/>
      <c r="AR168" s="2" t="s">
        <v>253</v>
      </c>
      <c r="AS168" s="2">
        <v>74046605</v>
      </c>
      <c r="AT168" s="2" t="s">
        <v>3900</v>
      </c>
      <c r="AU168" s="2"/>
      <c r="AV168" s="2"/>
      <c r="AW168" s="2" t="s">
        <v>3794</v>
      </c>
      <c r="AX168" s="2">
        <v>78691334</v>
      </c>
      <c r="AY168" s="2" t="s">
        <v>3901</v>
      </c>
      <c r="AZ168" s="2" t="s">
        <v>3902</v>
      </c>
      <c r="BA168" s="2" t="s">
        <v>255</v>
      </c>
      <c r="BB168" s="2">
        <v>0</v>
      </c>
      <c r="BC168" s="3" t="str">
        <f>HYPERLINK("https://patentscout.innography.com/share/lixwIEj5eO1kt5pYvtHj6A%3D%3D","GB202018138")</f>
        <v>GB202018138</v>
      </c>
      <c r="BD168" s="2" t="s">
        <v>3903</v>
      </c>
      <c r="BE168" s="2" t="s">
        <v>3904</v>
      </c>
      <c r="BF168" s="2" t="s">
        <v>3905</v>
      </c>
      <c r="BG168" s="2" t="str">
        <f>HYPERLINK("https://patentscout.innography.com/share/lixwIEj5eO1kt5pYvtHj6A%3D%3D/download", "Download PDF")</f>
        <v>Download PDF</v>
      </c>
      <c r="BH168" s="2" t="s">
        <v>3906</v>
      </c>
      <c r="BI168" s="2"/>
      <c r="BJ168" s="2" t="s">
        <v>3907</v>
      </c>
      <c r="BK168" s="2" t="s">
        <v>3907</v>
      </c>
      <c r="BL168" s="2" t="s">
        <v>3907</v>
      </c>
      <c r="BM168" s="2"/>
      <c r="BN168" s="2"/>
      <c r="BO168" s="2"/>
      <c r="BP168" s="2"/>
      <c r="BQ168" s="2"/>
      <c r="BR168" s="2"/>
      <c r="BS168" s="2"/>
      <c r="BT168" s="2"/>
      <c r="BU168" s="2"/>
      <c r="BV168" s="2"/>
      <c r="BW168" s="2"/>
      <c r="BX168" s="2"/>
      <c r="BY168" s="2"/>
      <c r="BZ168" s="2"/>
      <c r="CA168" s="2"/>
      <c r="CB168" s="2"/>
      <c r="CC168" s="2" t="s">
        <v>3800</v>
      </c>
      <c r="CD168" s="2" t="str">
        <f>HYPERLINK("https://patentscout.innography.com/share/lixwIEj5eO1kt5pYvtHj6A%3D%3D", "Innography Link")</f>
        <v>Innography Link</v>
      </c>
      <c r="CE168" s="2"/>
      <c r="CF168" s="2"/>
      <c r="CG168" s="2"/>
      <c r="CH168" s="2"/>
      <c r="CI168" s="2"/>
    </row>
    <row r="169" spans="1:98" ht="30" customHeight="1" x14ac:dyDescent="0.45">
      <c r="A169" s="2">
        <v>0</v>
      </c>
      <c r="B169" s="2">
        <v>0</v>
      </c>
      <c r="C169" s="2"/>
      <c r="D169" s="2"/>
      <c r="E169" s="2" t="s">
        <v>3908</v>
      </c>
      <c r="F169" s="2"/>
      <c r="G169" s="2" t="s">
        <v>3908</v>
      </c>
      <c r="H169" s="2" t="s">
        <v>3909</v>
      </c>
      <c r="I169" s="2" t="s">
        <v>3909</v>
      </c>
      <c r="J169" s="2" t="s">
        <v>3910</v>
      </c>
      <c r="K169" s="2" t="s">
        <v>3908</v>
      </c>
      <c r="L169" s="2" t="s">
        <v>3908</v>
      </c>
      <c r="M169" s="2"/>
      <c r="N169" s="2" t="s">
        <v>3911</v>
      </c>
      <c r="O169" s="2"/>
      <c r="P169" s="2" t="s">
        <v>3912</v>
      </c>
      <c r="Q169" s="2" t="s">
        <v>3912</v>
      </c>
      <c r="R169" s="2" t="s">
        <v>3912</v>
      </c>
      <c r="S169" s="2" t="s">
        <v>3912</v>
      </c>
      <c r="T169" s="2">
        <v>83</v>
      </c>
      <c r="U169" s="2">
        <v>6</v>
      </c>
      <c r="V169" s="2" t="s">
        <v>3913</v>
      </c>
      <c r="W169" s="2"/>
      <c r="X169" s="2"/>
      <c r="Y169" s="2"/>
      <c r="Z169" s="2"/>
      <c r="AA169" s="2"/>
      <c r="AB169" s="2">
        <v>0</v>
      </c>
      <c r="AC169" s="2" t="s">
        <v>3791</v>
      </c>
      <c r="AD169" s="2"/>
      <c r="AE169" s="2">
        <v>1</v>
      </c>
      <c r="AF169" s="2" t="s">
        <v>141</v>
      </c>
      <c r="AG169" s="2"/>
      <c r="AH169" s="2"/>
      <c r="AI169" s="2"/>
      <c r="AJ169" s="2"/>
      <c r="AK169" s="2" t="s">
        <v>3792</v>
      </c>
      <c r="AL169" s="2"/>
      <c r="AM169" s="2"/>
      <c r="AN169" s="2" t="s">
        <v>3793</v>
      </c>
      <c r="AO169" s="2" t="s">
        <v>3793</v>
      </c>
      <c r="AP169" s="2"/>
      <c r="AQ169" s="2"/>
      <c r="AR169" s="2" t="s">
        <v>253</v>
      </c>
      <c r="AS169" s="2">
        <v>78828411</v>
      </c>
      <c r="AT169" s="2" t="s">
        <v>3914</v>
      </c>
      <c r="AU169" s="2"/>
      <c r="AV169" s="2"/>
      <c r="AW169" s="2" t="s">
        <v>3794</v>
      </c>
      <c r="AX169" s="2">
        <v>83511794</v>
      </c>
      <c r="AY169" s="2" t="s">
        <v>3915</v>
      </c>
      <c r="AZ169" s="2" t="s">
        <v>3916</v>
      </c>
      <c r="BA169" s="2" t="s">
        <v>3917</v>
      </c>
      <c r="BB169" s="2">
        <v>0</v>
      </c>
      <c r="BC169" s="3" t="str">
        <f>HYPERLINK("https://patentscout.innography.com/share/Sg2YxAcUh2qAvczJ78pCvw%3D%3D","GB202115630")</f>
        <v>GB202115630</v>
      </c>
      <c r="BD169" s="2" t="s">
        <v>3918</v>
      </c>
      <c r="BE169" s="2"/>
      <c r="BF169" s="2" t="s">
        <v>3919</v>
      </c>
      <c r="BG169" s="2" t="str">
        <f>HYPERLINK("https://patentscout.innography.com/share/Sg2YxAcUh2qAvczJ78pCvw%3D%3D/download", "Download PDF")</f>
        <v>Download PDF</v>
      </c>
      <c r="BH169" s="2" t="s">
        <v>3920</v>
      </c>
      <c r="BI169" s="2"/>
      <c r="BJ169" s="2" t="s">
        <v>3921</v>
      </c>
      <c r="BK169" s="2" t="s">
        <v>3921</v>
      </c>
      <c r="BL169" s="2" t="s">
        <v>3921</v>
      </c>
      <c r="BM169" s="2"/>
      <c r="BN169" s="2"/>
      <c r="BO169" s="2"/>
      <c r="BP169" s="2"/>
      <c r="BQ169" s="2"/>
      <c r="BR169" s="2"/>
      <c r="BS169" s="2"/>
      <c r="BT169" s="2"/>
      <c r="BU169" s="2"/>
      <c r="BV169" s="2"/>
      <c r="BW169" s="2"/>
      <c r="BX169" s="2"/>
      <c r="BY169" s="2"/>
      <c r="BZ169" s="2"/>
      <c r="CA169" s="2"/>
      <c r="CB169" s="2"/>
      <c r="CC169" s="2" t="s">
        <v>3800</v>
      </c>
      <c r="CD169" s="2" t="str">
        <f>HYPERLINK("https://patentscout.innography.com/share/Sg2YxAcUh2qAvczJ78pCvw%3D%3D", "Innography Link")</f>
        <v>Innography Link</v>
      </c>
      <c r="CE169" s="2"/>
      <c r="CF169" s="2"/>
      <c r="CG169" s="2"/>
      <c r="CH169" s="2"/>
      <c r="CI169" s="2"/>
    </row>
    <row r="170" spans="1:98" ht="152" customHeight="1" x14ac:dyDescent="0.45">
      <c r="A170" s="2">
        <v>3</v>
      </c>
      <c r="B170" s="2">
        <v>0</v>
      </c>
      <c r="C170" s="2"/>
      <c r="D170" s="2" t="s">
        <v>3922</v>
      </c>
      <c r="E170" s="2" t="s">
        <v>3923</v>
      </c>
      <c r="F170" s="2"/>
      <c r="G170" s="2" t="s">
        <v>3923</v>
      </c>
      <c r="H170" s="2" t="s">
        <v>2942</v>
      </c>
      <c r="I170" s="2" t="s">
        <v>2942</v>
      </c>
      <c r="J170" s="2" t="s">
        <v>2943</v>
      </c>
      <c r="K170" s="2" t="s">
        <v>3923</v>
      </c>
      <c r="L170" s="2" t="s">
        <v>3923</v>
      </c>
      <c r="M170" s="2" t="s">
        <v>3924</v>
      </c>
      <c r="N170" s="2" t="s">
        <v>3925</v>
      </c>
      <c r="O170" s="2"/>
      <c r="P170" s="2" t="s">
        <v>3926</v>
      </c>
      <c r="Q170" s="2"/>
      <c r="R170" s="2"/>
      <c r="S170" s="2" t="s">
        <v>3926</v>
      </c>
      <c r="T170" s="2">
        <v>83</v>
      </c>
      <c r="U170" s="2">
        <v>62</v>
      </c>
      <c r="V170" s="2" t="s">
        <v>3927</v>
      </c>
      <c r="W170" s="2"/>
      <c r="X170" s="2"/>
      <c r="Y170" s="2"/>
      <c r="Z170" s="2" t="s">
        <v>3928</v>
      </c>
      <c r="AA170" s="2" t="s">
        <v>3929</v>
      </c>
      <c r="AB170" s="2">
        <v>10</v>
      </c>
      <c r="AC170" s="2" t="s">
        <v>214</v>
      </c>
      <c r="AD170" s="2" t="s">
        <v>3930</v>
      </c>
      <c r="AE170" s="2">
        <v>202</v>
      </c>
      <c r="AF170" s="2" t="s">
        <v>141</v>
      </c>
      <c r="AG170" s="2"/>
      <c r="AH170" s="2"/>
      <c r="AI170" s="2"/>
      <c r="AJ170" s="2"/>
      <c r="AK170" s="2" t="s">
        <v>1816</v>
      </c>
      <c r="AL170" s="2" t="s">
        <v>3931</v>
      </c>
      <c r="AM170" s="2" t="s">
        <v>3932</v>
      </c>
      <c r="AN170" s="2" t="s">
        <v>3933</v>
      </c>
      <c r="AO170" s="2" t="s">
        <v>3934</v>
      </c>
      <c r="AP170" s="2"/>
      <c r="AQ170" s="2"/>
      <c r="AR170" s="2" t="s">
        <v>514</v>
      </c>
      <c r="AS170" s="2">
        <v>79195243</v>
      </c>
      <c r="AT170" s="2" t="s">
        <v>3935</v>
      </c>
      <c r="AU170" s="2"/>
      <c r="AV170" s="2"/>
      <c r="AW170" s="2" t="s">
        <v>1821</v>
      </c>
      <c r="AX170" s="2">
        <v>84280384</v>
      </c>
      <c r="AY170" s="2" t="s">
        <v>3936</v>
      </c>
      <c r="AZ170" s="2" t="s">
        <v>3937</v>
      </c>
      <c r="BA170" s="2" t="s">
        <v>2957</v>
      </c>
      <c r="BB170" s="2">
        <v>0</v>
      </c>
      <c r="BC170" s="3" t="str">
        <f>HYPERLINK("https://patentscout.innography.com/share/OstZgk6an9srKg0N_oZ3xw%3D%3D","CN113903480")</f>
        <v>CN113903480</v>
      </c>
      <c r="BD170" s="2" t="s">
        <v>3938</v>
      </c>
      <c r="BE170" s="2" t="s">
        <v>3939</v>
      </c>
      <c r="BF170" s="2" t="s">
        <v>3940</v>
      </c>
      <c r="BG170" s="2" t="str">
        <f>HYPERLINK("https://patentscout.innography.com/share/OstZgk6an9srKg0N_oZ3xw%3D%3D/download", "Download PDF")</f>
        <v>Download PDF</v>
      </c>
      <c r="BH170" s="2" t="s">
        <v>3941</v>
      </c>
      <c r="BI170" s="2"/>
      <c r="BJ170" s="2" t="s">
        <v>3936</v>
      </c>
      <c r="BK170" s="2" t="s">
        <v>3936</v>
      </c>
      <c r="BL170" s="2" t="s">
        <v>3936</v>
      </c>
      <c r="BM170" s="2"/>
      <c r="BN170" s="2"/>
      <c r="BO170" s="2"/>
      <c r="BP170" s="2"/>
      <c r="BQ170" s="2"/>
      <c r="BR170" s="2"/>
      <c r="BS170" s="2"/>
      <c r="BT170" s="2"/>
      <c r="BU170" s="2"/>
      <c r="BV170" s="2"/>
      <c r="BW170" s="2"/>
      <c r="BX170" s="2"/>
      <c r="BY170" s="2"/>
      <c r="BZ170" s="2"/>
      <c r="CA170" s="2"/>
      <c r="CB170" s="2"/>
      <c r="CC170" s="2" t="s">
        <v>1829</v>
      </c>
      <c r="CD170" s="2" t="str">
        <f>HYPERLINK("https://patentscout.innography.com/share/OstZgk6an9srKg0N_oZ3xw%3D%3D", "Innography Link")</f>
        <v>Innography Link</v>
      </c>
      <c r="CE170" s="2"/>
      <c r="CF170" s="2"/>
      <c r="CG170" s="2"/>
      <c r="CH170" s="2"/>
      <c r="CI170" s="2"/>
      <c r="CK170" s="2" t="s">
        <v>3942</v>
      </c>
    </row>
    <row r="171" spans="1:98" ht="152" customHeight="1" x14ac:dyDescent="0.45">
      <c r="A171" s="2">
        <v>0</v>
      </c>
      <c r="B171" s="2">
        <v>0</v>
      </c>
      <c r="C171" s="2"/>
      <c r="D171" s="2"/>
      <c r="E171" s="2" t="s">
        <v>3943</v>
      </c>
      <c r="F171" s="2"/>
      <c r="G171" s="2" t="s">
        <v>3943</v>
      </c>
      <c r="H171" s="2" t="s">
        <v>3944</v>
      </c>
      <c r="I171" s="2" t="s">
        <v>3945</v>
      </c>
      <c r="J171" s="2" t="s">
        <v>3946</v>
      </c>
      <c r="K171" s="2" t="s">
        <v>3943</v>
      </c>
      <c r="L171" s="2" t="s">
        <v>3947</v>
      </c>
      <c r="M171" s="2" t="s">
        <v>3948</v>
      </c>
      <c r="N171" s="2" t="s">
        <v>3949</v>
      </c>
      <c r="O171" s="2" t="s">
        <v>3950</v>
      </c>
      <c r="P171" s="2" t="s">
        <v>3951</v>
      </c>
      <c r="Q171" s="2" t="s">
        <v>3951</v>
      </c>
      <c r="R171" s="2" t="s">
        <v>3952</v>
      </c>
      <c r="S171" s="2" t="s">
        <v>3951</v>
      </c>
      <c r="T171" s="2">
        <v>83</v>
      </c>
      <c r="U171" s="2">
        <v>8</v>
      </c>
      <c r="V171" s="2" t="s">
        <v>3953</v>
      </c>
      <c r="W171" s="2" t="s">
        <v>3954</v>
      </c>
      <c r="X171" s="2">
        <v>3715</v>
      </c>
      <c r="Y171" s="2" t="s">
        <v>3955</v>
      </c>
      <c r="Z171" s="2" t="s">
        <v>3956</v>
      </c>
      <c r="AA171" s="2" t="s">
        <v>3957</v>
      </c>
      <c r="AB171" s="2">
        <v>10</v>
      </c>
      <c r="AC171" s="2" t="s">
        <v>139</v>
      </c>
      <c r="AD171" s="2" t="s">
        <v>3958</v>
      </c>
      <c r="AE171" s="2">
        <v>92</v>
      </c>
      <c r="AF171" s="2" t="s">
        <v>141</v>
      </c>
      <c r="AG171" s="2"/>
      <c r="AH171" s="2"/>
      <c r="AI171" s="2"/>
      <c r="AJ171" s="2"/>
      <c r="AK171" s="2" t="s">
        <v>142</v>
      </c>
      <c r="AL171" s="2" t="s">
        <v>1146</v>
      </c>
      <c r="AM171" s="2" t="s">
        <v>3959</v>
      </c>
      <c r="AN171" s="2" t="s">
        <v>3960</v>
      </c>
      <c r="AO171" s="2" t="s">
        <v>3961</v>
      </c>
      <c r="AP171" s="2">
        <v>273297000</v>
      </c>
      <c r="AQ171" s="2">
        <v>273297000</v>
      </c>
      <c r="AR171" s="2" t="s">
        <v>253</v>
      </c>
      <c r="AS171" s="2">
        <v>80626078</v>
      </c>
      <c r="AT171" s="2" t="s">
        <v>3962</v>
      </c>
      <c r="AU171" s="2"/>
      <c r="AV171" s="2"/>
      <c r="AW171" s="2" t="s">
        <v>303</v>
      </c>
      <c r="AX171" s="2">
        <v>83371604</v>
      </c>
      <c r="AY171" s="2" t="s">
        <v>3963</v>
      </c>
      <c r="AZ171" s="2" t="s">
        <v>3964</v>
      </c>
      <c r="BA171" s="2" t="s">
        <v>3965</v>
      </c>
      <c r="BB171" s="2">
        <v>0</v>
      </c>
      <c r="BC171" s="3" t="str">
        <f>HYPERLINK("https://patentscout.innography.com/share/NBz40QlP4LWmfPJ1Uk6mmA%3D%3D","US20220080302")</f>
        <v>US20220080302</v>
      </c>
      <c r="BD171" s="2" t="s">
        <v>3966</v>
      </c>
      <c r="BE171" s="2" t="s">
        <v>3967</v>
      </c>
      <c r="BF171" s="2" t="s">
        <v>3968</v>
      </c>
      <c r="BG171" s="2" t="str">
        <f>HYPERLINK("https://patentscout.innography.com/share/NBz40QlP4LWmfPJ1Uk6mmA%3D%3D/download", "Download PDF")</f>
        <v>Download PDF</v>
      </c>
      <c r="BH171" s="2" t="s">
        <v>3969</v>
      </c>
      <c r="BI171" s="2"/>
      <c r="BJ171" s="2" t="s">
        <v>3970</v>
      </c>
      <c r="BK171" s="2" t="s">
        <v>3970</v>
      </c>
      <c r="BL171" s="2" t="s">
        <v>3971</v>
      </c>
      <c r="BM171" s="2"/>
      <c r="BN171" s="2"/>
      <c r="BO171" s="2"/>
      <c r="BP171" s="2"/>
      <c r="BQ171" s="2"/>
      <c r="BR171" s="2"/>
      <c r="BS171" s="2"/>
      <c r="BT171" s="2"/>
      <c r="BU171" s="2"/>
      <c r="BV171" s="2"/>
      <c r="BW171" s="2"/>
      <c r="BX171" s="2"/>
      <c r="BY171" s="2"/>
      <c r="BZ171" s="2"/>
      <c r="CA171" s="2"/>
      <c r="CB171" s="2"/>
      <c r="CC171" s="2" t="s">
        <v>158</v>
      </c>
      <c r="CD171" s="2" t="str">
        <f>HYPERLINK("https://patentscout.innography.com/share/NBz40QlP4LWmfPJ1Uk6mmA%3D%3D", "Innography Link")</f>
        <v>Innography Link</v>
      </c>
      <c r="CE171" s="2"/>
      <c r="CF171" s="2"/>
      <c r="CG171" s="2"/>
      <c r="CH171" s="2"/>
      <c r="CI171" s="2"/>
      <c r="CK171" s="2" t="s">
        <v>3972</v>
      </c>
    </row>
    <row r="172" spans="1:98" ht="152" customHeight="1" x14ac:dyDescent="0.45">
      <c r="A172" s="2">
        <v>0</v>
      </c>
      <c r="B172" s="2">
        <v>1</v>
      </c>
      <c r="C172" s="2" t="s">
        <v>3973</v>
      </c>
      <c r="D172" s="2"/>
      <c r="E172" s="2" t="s">
        <v>3974</v>
      </c>
      <c r="F172" s="2"/>
      <c r="G172" s="2" t="s">
        <v>3974</v>
      </c>
      <c r="H172" s="2" t="s">
        <v>3944</v>
      </c>
      <c r="I172" s="2" t="s">
        <v>3975</v>
      </c>
      <c r="J172" s="2" t="s">
        <v>3976</v>
      </c>
      <c r="K172" s="2" t="s">
        <v>3974</v>
      </c>
      <c r="L172" s="2" t="s">
        <v>3947</v>
      </c>
      <c r="M172" s="2" t="s">
        <v>3977</v>
      </c>
      <c r="N172" s="2" t="s">
        <v>3978</v>
      </c>
      <c r="O172" s="2"/>
      <c r="P172" s="2" t="s">
        <v>3951</v>
      </c>
      <c r="Q172" s="2" t="s">
        <v>3951</v>
      </c>
      <c r="R172" s="2" t="s">
        <v>3952</v>
      </c>
      <c r="S172" s="2" t="s">
        <v>3951</v>
      </c>
      <c r="T172" s="2">
        <v>83</v>
      </c>
      <c r="U172" s="2">
        <v>5</v>
      </c>
      <c r="V172" s="2" t="s">
        <v>3979</v>
      </c>
      <c r="W172" s="2"/>
      <c r="X172" s="2"/>
      <c r="Y172" s="2"/>
      <c r="Z172" s="2" t="s">
        <v>3980</v>
      </c>
      <c r="AA172" s="2" t="s">
        <v>3981</v>
      </c>
      <c r="AB172" s="2">
        <v>10</v>
      </c>
      <c r="AC172" s="2" t="s">
        <v>214</v>
      </c>
      <c r="AD172" s="2" t="s">
        <v>3958</v>
      </c>
      <c r="AE172" s="2">
        <v>94</v>
      </c>
      <c r="AF172" s="2" t="s">
        <v>141</v>
      </c>
      <c r="AG172" s="2"/>
      <c r="AH172" s="2"/>
      <c r="AI172" s="2"/>
      <c r="AJ172" s="2"/>
      <c r="AK172" s="2" t="s">
        <v>217</v>
      </c>
      <c r="AL172" s="2" t="s">
        <v>3982</v>
      </c>
      <c r="AM172" s="2" t="s">
        <v>3983</v>
      </c>
      <c r="AN172" s="2" t="s">
        <v>1035</v>
      </c>
      <c r="AO172" s="2" t="s">
        <v>3984</v>
      </c>
      <c r="AP172" s="2">
        <v>361679100</v>
      </c>
      <c r="AQ172" s="2">
        <v>361679100</v>
      </c>
      <c r="AR172" s="2" t="s">
        <v>253</v>
      </c>
      <c r="AS172" s="2">
        <v>80935847</v>
      </c>
      <c r="AT172" s="2" t="s">
        <v>3985</v>
      </c>
      <c r="AU172" s="2"/>
      <c r="AV172" s="2"/>
      <c r="AW172" s="2" t="s">
        <v>219</v>
      </c>
      <c r="AX172" s="2">
        <v>83371604</v>
      </c>
      <c r="AY172" s="2" t="s">
        <v>3963</v>
      </c>
      <c r="AZ172" s="2" t="s">
        <v>3986</v>
      </c>
      <c r="BA172" s="2" t="s">
        <v>3987</v>
      </c>
      <c r="BB172" s="2">
        <v>0</v>
      </c>
      <c r="BC172" s="3" t="str">
        <f>HYPERLINK("https://patentscout.innography.com/share/4cwD9BtTeZCY4TPBzJhBSw%3D%3D","KR20220037351")</f>
        <v>KR20220037351</v>
      </c>
      <c r="BD172" s="2" t="s">
        <v>3988</v>
      </c>
      <c r="BE172" s="2"/>
      <c r="BF172" s="2" t="s">
        <v>3989</v>
      </c>
      <c r="BG172" s="2" t="str">
        <f>HYPERLINK("https://patentscout.innography.com/share/4cwD9BtTeZCY4TPBzJhBSw%3D%3D/download", "Download PDF")</f>
        <v>Download PDF</v>
      </c>
      <c r="BH172" s="2" t="s">
        <v>3990</v>
      </c>
      <c r="BI172" s="2"/>
      <c r="BJ172" s="2" t="s">
        <v>3991</v>
      </c>
      <c r="BK172" s="2" t="s">
        <v>3991</v>
      </c>
      <c r="BL172" s="2" t="s">
        <v>3971</v>
      </c>
      <c r="BM172" s="2"/>
      <c r="BN172" s="2"/>
      <c r="BO172" s="2"/>
      <c r="BP172" s="2"/>
      <c r="BQ172" s="2"/>
      <c r="BR172" s="2"/>
      <c r="BS172" s="2"/>
      <c r="BT172" s="2"/>
      <c r="BU172" s="2"/>
      <c r="BV172" s="2"/>
      <c r="BW172" s="2"/>
      <c r="BX172" s="2"/>
      <c r="BY172" s="2"/>
      <c r="BZ172" s="2"/>
      <c r="CA172" s="2"/>
      <c r="CB172" s="2"/>
      <c r="CC172" s="2" t="s">
        <v>228</v>
      </c>
      <c r="CD172" s="2" t="str">
        <f>HYPERLINK("https://patentscout.innography.com/share/4cwD9BtTeZCY4TPBzJhBSw%3D%3D", "Innography Link")</f>
        <v>Innography Link</v>
      </c>
      <c r="CE172" s="2"/>
      <c r="CF172" s="2"/>
      <c r="CG172" s="2"/>
      <c r="CH172" s="2"/>
      <c r="CI172" s="2"/>
      <c r="CK172" s="2" t="s">
        <v>3992</v>
      </c>
    </row>
    <row r="173" spans="1:98" ht="152" customHeight="1" x14ac:dyDescent="0.45">
      <c r="A173" s="2">
        <v>0</v>
      </c>
      <c r="B173" s="2">
        <v>0</v>
      </c>
      <c r="C173" s="2"/>
      <c r="D173" s="2"/>
      <c r="E173" s="2" t="s">
        <v>3993</v>
      </c>
      <c r="F173" s="2"/>
      <c r="G173" s="2" t="s">
        <v>3993</v>
      </c>
      <c r="H173" s="2" t="s">
        <v>3994</v>
      </c>
      <c r="I173" s="2" t="s">
        <v>3995</v>
      </c>
      <c r="J173" s="2" t="s">
        <v>3996</v>
      </c>
      <c r="K173" s="2" t="s">
        <v>3993</v>
      </c>
      <c r="L173" s="2" t="s">
        <v>3993</v>
      </c>
      <c r="M173" s="2" t="s">
        <v>3997</v>
      </c>
      <c r="N173" s="2" t="s">
        <v>3998</v>
      </c>
      <c r="O173" s="2" t="s">
        <v>3999</v>
      </c>
      <c r="P173" s="2" t="s">
        <v>4000</v>
      </c>
      <c r="Q173" s="2" t="s">
        <v>4000</v>
      </c>
      <c r="R173" s="2" t="s">
        <v>4001</v>
      </c>
      <c r="S173" s="2" t="s">
        <v>4000</v>
      </c>
      <c r="T173" s="2">
        <v>83</v>
      </c>
      <c r="U173" s="2">
        <v>16</v>
      </c>
      <c r="V173" s="2" t="s">
        <v>4002</v>
      </c>
      <c r="W173" s="2" t="s">
        <v>533</v>
      </c>
      <c r="X173" s="2"/>
      <c r="Y173" s="2"/>
      <c r="Z173" s="2" t="s">
        <v>4003</v>
      </c>
      <c r="AA173" s="2" t="s">
        <v>4004</v>
      </c>
      <c r="AB173" s="2">
        <v>20</v>
      </c>
      <c r="AC173" s="2" t="s">
        <v>139</v>
      </c>
      <c r="AD173" s="2" t="s">
        <v>4005</v>
      </c>
      <c r="AE173" s="2">
        <v>156</v>
      </c>
      <c r="AF173" s="2" t="s">
        <v>141</v>
      </c>
      <c r="AG173" s="2"/>
      <c r="AH173" s="2"/>
      <c r="AI173" s="2"/>
      <c r="AJ173" s="2"/>
      <c r="AK173" s="2" t="s">
        <v>142</v>
      </c>
      <c r="AL173" s="2" t="s">
        <v>4006</v>
      </c>
      <c r="AM173" s="2" t="s">
        <v>4007</v>
      </c>
      <c r="AN173" s="2" t="s">
        <v>4008</v>
      </c>
      <c r="AO173" s="2" t="s">
        <v>4009</v>
      </c>
      <c r="AP173" s="2" t="s">
        <v>4010</v>
      </c>
      <c r="AQ173" s="2" t="s">
        <v>4011</v>
      </c>
      <c r="AR173" s="2" t="s">
        <v>541</v>
      </c>
      <c r="AS173" s="2">
        <v>82219959</v>
      </c>
      <c r="AT173" s="2" t="s">
        <v>4012</v>
      </c>
      <c r="AU173" s="2"/>
      <c r="AV173" s="2"/>
      <c r="AW173" s="2" t="s">
        <v>303</v>
      </c>
      <c r="AX173" s="2">
        <v>88814853</v>
      </c>
      <c r="AY173" s="2" t="s">
        <v>4013</v>
      </c>
      <c r="AZ173" s="2" t="s">
        <v>4014</v>
      </c>
      <c r="BA173" s="2" t="s">
        <v>4015</v>
      </c>
      <c r="BB173" s="2">
        <v>0</v>
      </c>
      <c r="BC173" s="3" t="str">
        <f>HYPERLINK("https://patentscout.innography.com/share/WMYQ_RyhDrMjlV4ECELwcg%3D%3D","US20220211140")</f>
        <v>US20220211140</v>
      </c>
      <c r="BD173" s="2" t="s">
        <v>4016</v>
      </c>
      <c r="BE173" s="2" t="s">
        <v>4017</v>
      </c>
      <c r="BF173" s="2" t="s">
        <v>4018</v>
      </c>
      <c r="BG173" s="2" t="str">
        <f>HYPERLINK("https://patentscout.innography.com/share/WMYQ_RyhDrMjlV4ECELwcg%3D%3D/download", "Download PDF")</f>
        <v>Download PDF</v>
      </c>
      <c r="BH173" s="2" t="s">
        <v>4019</v>
      </c>
      <c r="BI173" s="2"/>
      <c r="BJ173" s="2" t="s">
        <v>4013</v>
      </c>
      <c r="BK173" s="2" t="s">
        <v>4013</v>
      </c>
      <c r="BL173" s="2" t="s">
        <v>4013</v>
      </c>
      <c r="BM173" s="2"/>
      <c r="BN173" s="2"/>
      <c r="BO173" s="2"/>
      <c r="BP173" s="2"/>
      <c r="BQ173" s="2"/>
      <c r="BR173" s="2"/>
      <c r="BS173" s="2"/>
      <c r="BT173" s="2"/>
      <c r="BU173" s="2"/>
      <c r="BV173" s="2"/>
      <c r="BW173" s="2"/>
      <c r="BX173" s="2"/>
      <c r="BY173" s="2"/>
      <c r="BZ173" s="2"/>
      <c r="CA173" s="2"/>
      <c r="CB173" s="2"/>
      <c r="CC173" s="2" t="s">
        <v>158</v>
      </c>
      <c r="CD173" s="2" t="str">
        <f>HYPERLINK("https://patentscout.innography.com/share/WMYQ_RyhDrMjlV4ECELwcg%3D%3D", "Innography Link")</f>
        <v>Innography Link</v>
      </c>
      <c r="CE173" s="2"/>
      <c r="CF173" s="2"/>
      <c r="CG173" s="2"/>
      <c r="CH173" s="2"/>
      <c r="CI173" s="2"/>
      <c r="CK173" s="2" t="s">
        <v>4020</v>
      </c>
      <c r="CL173" s="2" t="s">
        <v>4021</v>
      </c>
    </row>
    <row r="174" spans="1:98" ht="152" customHeight="1" x14ac:dyDescent="0.45">
      <c r="A174" s="2">
        <v>0</v>
      </c>
      <c r="B174" s="2">
        <v>2</v>
      </c>
      <c r="C174" s="2"/>
      <c r="D174" s="2"/>
      <c r="E174" s="2" t="s">
        <v>3303</v>
      </c>
      <c r="F174" s="2" t="s">
        <v>4022</v>
      </c>
      <c r="G174" s="2" t="s">
        <v>4022</v>
      </c>
      <c r="H174" s="2" t="s">
        <v>4023</v>
      </c>
      <c r="I174" s="2" t="s">
        <v>4023</v>
      </c>
      <c r="J174" s="2" t="s">
        <v>4024</v>
      </c>
      <c r="K174" s="2" t="s">
        <v>3303</v>
      </c>
      <c r="L174" s="2" t="s">
        <v>3303</v>
      </c>
      <c r="M174" s="2" t="s">
        <v>4025</v>
      </c>
      <c r="N174" s="2" t="s">
        <v>4026</v>
      </c>
      <c r="O174" s="2"/>
      <c r="P174" s="2" t="s">
        <v>4027</v>
      </c>
      <c r="Q174" s="2" t="s">
        <v>4028</v>
      </c>
      <c r="R174" s="2" t="s">
        <v>4028</v>
      </c>
      <c r="S174" s="2" t="s">
        <v>4027</v>
      </c>
      <c r="T174" s="2">
        <v>83</v>
      </c>
      <c r="U174" s="2">
        <v>11</v>
      </c>
      <c r="V174" s="2" t="s">
        <v>4029</v>
      </c>
      <c r="W174" s="2"/>
      <c r="X174" s="2"/>
      <c r="Y174" s="2"/>
      <c r="Z174" s="2" t="s">
        <v>4030</v>
      </c>
      <c r="AA174" s="2" t="s">
        <v>4031</v>
      </c>
      <c r="AB174" s="2">
        <v>16</v>
      </c>
      <c r="AC174" s="2" t="s">
        <v>235</v>
      </c>
      <c r="AD174" s="2" t="s">
        <v>4032</v>
      </c>
      <c r="AE174" s="2">
        <v>200</v>
      </c>
      <c r="AF174" s="2" t="s">
        <v>141</v>
      </c>
      <c r="AG174" s="2"/>
      <c r="AH174" s="2"/>
      <c r="AI174" s="2" t="s">
        <v>4033</v>
      </c>
      <c r="AJ174" s="2"/>
      <c r="AK174" s="2" t="s">
        <v>217</v>
      </c>
      <c r="AL174" s="2" t="s">
        <v>1146</v>
      </c>
      <c r="AM174" s="2" t="s">
        <v>4034</v>
      </c>
      <c r="AN174" s="2" t="s">
        <v>1588</v>
      </c>
      <c r="AO174" s="2" t="s">
        <v>4035</v>
      </c>
      <c r="AP174" s="2">
        <v>340005530</v>
      </c>
      <c r="AQ174" s="2">
        <v>340005530</v>
      </c>
      <c r="AR174" s="2" t="s">
        <v>541</v>
      </c>
      <c r="AS174" s="2">
        <v>81583746</v>
      </c>
      <c r="AT174" s="2" t="s">
        <v>4036</v>
      </c>
      <c r="AU174" s="2"/>
      <c r="AV174" s="2"/>
      <c r="AW174" s="2" t="s">
        <v>336</v>
      </c>
      <c r="AX174" s="2">
        <v>87977010</v>
      </c>
      <c r="AY174" s="2" t="s">
        <v>4037</v>
      </c>
      <c r="AZ174" s="2" t="s">
        <v>4038</v>
      </c>
      <c r="BA174" s="2" t="s">
        <v>4039</v>
      </c>
      <c r="BB174" s="2">
        <v>0</v>
      </c>
      <c r="BC174" s="3" t="str">
        <f>HYPERLINK("https://patentscout.innography.com/share/onlyuVDuO3C8ff_Vgfs31g%3D%3D","KR102409826")</f>
        <v>KR102409826</v>
      </c>
      <c r="BD174" s="2" t="s">
        <v>4040</v>
      </c>
      <c r="BE174" s="2" t="s">
        <v>4041</v>
      </c>
      <c r="BF174" s="2" t="s">
        <v>4042</v>
      </c>
      <c r="BG174" s="2" t="str">
        <f>HYPERLINK("https://patentscout.innography.com/share/onlyuVDuO3C8ff_Vgfs31g%3D%3D/download", "Download PDF")</f>
        <v>Download PDF</v>
      </c>
      <c r="BH174" s="2" t="s">
        <v>4043</v>
      </c>
      <c r="BI174" s="2"/>
      <c r="BJ174" s="2" t="s">
        <v>4033</v>
      </c>
      <c r="BK174" s="2" t="s">
        <v>4033</v>
      </c>
      <c r="BL174" s="2" t="s">
        <v>4033</v>
      </c>
      <c r="BM174" s="2"/>
      <c r="BN174" s="2"/>
      <c r="BO174" s="2"/>
      <c r="BP174" s="2"/>
      <c r="BQ174" s="2"/>
      <c r="BR174" s="2"/>
      <c r="BS174" s="2"/>
      <c r="BT174" s="2"/>
      <c r="BU174" s="2"/>
      <c r="BV174" s="2"/>
      <c r="BW174" s="2"/>
      <c r="BX174" s="2"/>
      <c r="BY174" s="2"/>
      <c r="BZ174" s="2"/>
      <c r="CA174" s="2"/>
      <c r="CB174" s="2"/>
      <c r="CC174" s="2" t="s">
        <v>243</v>
      </c>
      <c r="CD174" s="2" t="str">
        <f>HYPERLINK("https://patentscout.innography.com/share/onlyuVDuO3C8ff_Vgfs31g%3D%3D", "Innography Link")</f>
        <v>Innography Link</v>
      </c>
      <c r="CE174" s="2"/>
      <c r="CF174" s="2"/>
      <c r="CG174" s="2"/>
      <c r="CH174" s="2"/>
      <c r="CI174" s="2"/>
      <c r="CK174" s="2" t="s">
        <v>4044</v>
      </c>
      <c r="CL174" s="2" t="s">
        <v>780</v>
      </c>
      <c r="CM174" s="2" t="s">
        <v>444</v>
      </c>
      <c r="CN174" s="2" t="s">
        <v>371</v>
      </c>
      <c r="CO174" s="2" t="s">
        <v>497</v>
      </c>
      <c r="CP174" s="2" t="s">
        <v>4045</v>
      </c>
      <c r="CQ174" s="2" t="s">
        <v>782</v>
      </c>
      <c r="CR174" s="2" t="s">
        <v>783</v>
      </c>
      <c r="CS174" s="2" t="s">
        <v>784</v>
      </c>
      <c r="CT174" s="2" t="s">
        <v>785</v>
      </c>
    </row>
    <row r="175" spans="1:98" ht="152" customHeight="1" x14ac:dyDescent="0.45">
      <c r="A175" s="2">
        <v>0</v>
      </c>
      <c r="B175" s="2">
        <v>4</v>
      </c>
      <c r="C175" s="2" t="s">
        <v>4046</v>
      </c>
      <c r="D175" s="2"/>
      <c r="E175" s="2"/>
      <c r="F175" s="2" t="s">
        <v>4047</v>
      </c>
      <c r="G175" s="2" t="s">
        <v>4047</v>
      </c>
      <c r="H175" s="2" t="s">
        <v>982</v>
      </c>
      <c r="I175" s="2" t="s">
        <v>982</v>
      </c>
      <c r="J175" s="2" t="s">
        <v>983</v>
      </c>
      <c r="K175" s="2" t="s">
        <v>4047</v>
      </c>
      <c r="L175" s="2" t="s">
        <v>4047</v>
      </c>
      <c r="M175" s="2" t="s">
        <v>4048</v>
      </c>
      <c r="N175" s="2" t="s">
        <v>4049</v>
      </c>
      <c r="O175" s="2"/>
      <c r="P175" s="2" t="s">
        <v>4050</v>
      </c>
      <c r="Q175" s="2"/>
      <c r="R175" s="2"/>
      <c r="S175" s="2" t="s">
        <v>4050</v>
      </c>
      <c r="T175" s="2">
        <v>83</v>
      </c>
      <c r="U175" s="2">
        <v>6</v>
      </c>
      <c r="V175" s="2" t="s">
        <v>4051</v>
      </c>
      <c r="W175" s="2"/>
      <c r="X175" s="2"/>
      <c r="Y175" s="2"/>
      <c r="Z175" s="2" t="s">
        <v>4052</v>
      </c>
      <c r="AA175" s="2" t="s">
        <v>4053</v>
      </c>
      <c r="AB175" s="2">
        <v>9</v>
      </c>
      <c r="AC175" s="2" t="s">
        <v>235</v>
      </c>
      <c r="AD175" s="2" t="s">
        <v>4050</v>
      </c>
      <c r="AE175" s="2">
        <v>1040</v>
      </c>
      <c r="AF175" s="2" t="s">
        <v>141</v>
      </c>
      <c r="AG175" s="2"/>
      <c r="AH175" s="2"/>
      <c r="AI175" s="2"/>
      <c r="AJ175" s="2"/>
      <c r="AK175" s="2" t="s">
        <v>217</v>
      </c>
      <c r="AL175" s="2" t="s">
        <v>1373</v>
      </c>
      <c r="AM175" s="2" t="s">
        <v>1373</v>
      </c>
      <c r="AN175" s="2" t="s">
        <v>539</v>
      </c>
      <c r="AO175" s="2" t="s">
        <v>4054</v>
      </c>
      <c r="AP175" s="2">
        <v>705348000</v>
      </c>
      <c r="AQ175" s="2">
        <v>705348000</v>
      </c>
      <c r="AR175" s="2" t="s">
        <v>253</v>
      </c>
      <c r="AS175" s="2">
        <v>82609338</v>
      </c>
      <c r="AT175" s="2" t="s">
        <v>4055</v>
      </c>
      <c r="AU175" s="2"/>
      <c r="AV175" s="2"/>
      <c r="AW175" s="2" t="s">
        <v>336</v>
      </c>
      <c r="AX175" s="2">
        <v>89269308</v>
      </c>
      <c r="AY175" s="2" t="s">
        <v>4056</v>
      </c>
      <c r="AZ175" s="2" t="s">
        <v>4057</v>
      </c>
      <c r="BA175" s="2" t="s">
        <v>994</v>
      </c>
      <c r="BB175" s="2">
        <v>0</v>
      </c>
      <c r="BC175" s="3" t="str">
        <f>HYPERLINK("https://patentscout.innography.com/share/qUbz4JaVy7VuLItY9D5rsg%3D%3D","KR102423445")</f>
        <v>KR102423445</v>
      </c>
      <c r="BD175" s="2" t="s">
        <v>4058</v>
      </c>
      <c r="BE175" s="2" t="s">
        <v>4059</v>
      </c>
      <c r="BF175" s="2" t="s">
        <v>4060</v>
      </c>
      <c r="BG175" s="2" t="str">
        <f>HYPERLINK("https://patentscout.innography.com/share/qUbz4JaVy7VuLItY9D5rsg%3D%3D/download", "Download PDF")</f>
        <v>Download PDF</v>
      </c>
      <c r="BH175" s="2" t="s">
        <v>4061</v>
      </c>
      <c r="BI175" s="2"/>
      <c r="BJ175" s="2" t="s">
        <v>4062</v>
      </c>
      <c r="BK175" s="2" t="s">
        <v>4062</v>
      </c>
      <c r="BL175" s="2" t="s">
        <v>4062</v>
      </c>
      <c r="BM175" s="2"/>
      <c r="BN175" s="2"/>
      <c r="BO175" s="2"/>
      <c r="BP175" s="2"/>
      <c r="BQ175" s="2"/>
      <c r="BR175" s="2"/>
      <c r="BS175" s="2"/>
      <c r="BT175" s="2"/>
      <c r="BU175" s="2"/>
      <c r="BV175" s="2"/>
      <c r="BW175" s="2"/>
      <c r="BX175" s="2"/>
      <c r="BY175" s="2"/>
      <c r="BZ175" s="2"/>
      <c r="CA175" s="2"/>
      <c r="CB175" s="2"/>
      <c r="CC175" s="2" t="s">
        <v>243</v>
      </c>
      <c r="CD175" s="2" t="str">
        <f>HYPERLINK("https://patentscout.innography.com/share/qUbz4JaVy7VuLItY9D5rsg%3D%3D", "Innography Link")</f>
        <v>Innography Link</v>
      </c>
      <c r="CE175" s="2"/>
      <c r="CF175" s="2"/>
      <c r="CG175" s="2"/>
      <c r="CH175" s="2"/>
      <c r="CI175" s="2"/>
      <c r="CK175" s="2" t="s">
        <v>4063</v>
      </c>
      <c r="CL175" s="2" t="s">
        <v>780</v>
      </c>
      <c r="CM175" s="2" t="s">
        <v>444</v>
      </c>
    </row>
    <row r="176" spans="1:98" ht="152" customHeight="1" x14ac:dyDescent="0.45">
      <c r="A176" s="2">
        <v>0</v>
      </c>
      <c r="B176" s="2">
        <v>0</v>
      </c>
      <c r="C176" s="2"/>
      <c r="D176" s="2"/>
      <c r="E176" s="2" t="s">
        <v>4064</v>
      </c>
      <c r="F176" s="2"/>
      <c r="G176" s="2" t="s">
        <v>4064</v>
      </c>
      <c r="H176" s="2" t="s">
        <v>4065</v>
      </c>
      <c r="I176" s="2" t="s">
        <v>4066</v>
      </c>
      <c r="J176" s="2" t="s">
        <v>4067</v>
      </c>
      <c r="K176" s="2" t="s">
        <v>4068</v>
      </c>
      <c r="L176" s="2" t="s">
        <v>4068</v>
      </c>
      <c r="M176" s="2" t="s">
        <v>4069</v>
      </c>
      <c r="N176" s="2" t="s">
        <v>4070</v>
      </c>
      <c r="O176" s="2"/>
      <c r="P176" s="2" t="s">
        <v>4071</v>
      </c>
      <c r="Q176" s="2"/>
      <c r="R176" s="2"/>
      <c r="S176" s="2" t="s">
        <v>4071</v>
      </c>
      <c r="T176" s="2">
        <v>83</v>
      </c>
      <c r="U176" s="2">
        <v>15</v>
      </c>
      <c r="V176" s="2" t="s">
        <v>4072</v>
      </c>
      <c r="W176" s="2" t="s">
        <v>533</v>
      </c>
      <c r="X176" s="2"/>
      <c r="Y176" s="2"/>
      <c r="Z176" s="2" t="s">
        <v>4073</v>
      </c>
      <c r="AA176" s="2" t="s">
        <v>4074</v>
      </c>
      <c r="AB176" s="2">
        <v>20</v>
      </c>
      <c r="AC176" s="2" t="s">
        <v>139</v>
      </c>
      <c r="AD176" s="2" t="s">
        <v>4075</v>
      </c>
      <c r="AE176" s="2">
        <v>72</v>
      </c>
      <c r="AF176" s="2" t="s">
        <v>141</v>
      </c>
      <c r="AG176" s="2"/>
      <c r="AH176" s="2"/>
      <c r="AI176" s="2"/>
      <c r="AJ176" s="2"/>
      <c r="AK176" s="2" t="s">
        <v>142</v>
      </c>
      <c r="AL176" s="2" t="s">
        <v>4076</v>
      </c>
      <c r="AM176" s="2" t="s">
        <v>4077</v>
      </c>
      <c r="AN176" s="2" t="s">
        <v>4078</v>
      </c>
      <c r="AO176" s="2" t="s">
        <v>4079</v>
      </c>
      <c r="AP176" s="2">
        <v>351208000</v>
      </c>
      <c r="AQ176" s="2">
        <v>351208000</v>
      </c>
      <c r="AR176" s="2" t="s">
        <v>541</v>
      </c>
      <c r="AS176" s="2">
        <v>74043330</v>
      </c>
      <c r="AT176" s="2" t="s">
        <v>4080</v>
      </c>
      <c r="AU176" s="2"/>
      <c r="AV176" s="2"/>
      <c r="AW176" s="2" t="s">
        <v>4081</v>
      </c>
      <c r="AX176" s="2">
        <v>78673193</v>
      </c>
      <c r="AY176" s="2" t="s">
        <v>4082</v>
      </c>
      <c r="AZ176" s="2" t="s">
        <v>4083</v>
      </c>
      <c r="BA176" s="2" t="s">
        <v>4084</v>
      </c>
      <c r="BB176" s="2">
        <v>0</v>
      </c>
      <c r="BC176" s="3" t="str">
        <f>HYPERLINK("https://patentscout.innography.com/share/LV1ivCiImLqrOnlLgOmNQw%3D%3D","US20220248955")</f>
        <v>US20220248955</v>
      </c>
      <c r="BD176" s="2" t="s">
        <v>4085</v>
      </c>
      <c r="BE176" s="2" t="s">
        <v>4086</v>
      </c>
      <c r="BF176" s="2" t="s">
        <v>4087</v>
      </c>
      <c r="BG176" s="2" t="str">
        <f>HYPERLINK("https://patentscout.innography.com/share/LV1ivCiImLqrOnlLgOmNQw%3D%3D/download", "Download PDF")</f>
        <v>Download PDF</v>
      </c>
      <c r="BH176" s="2" t="s">
        <v>4088</v>
      </c>
      <c r="BI176" s="2"/>
      <c r="BJ176" s="2" t="s">
        <v>4089</v>
      </c>
      <c r="BK176" s="2" t="s">
        <v>4090</v>
      </c>
      <c r="BL176" s="2" t="s">
        <v>4090</v>
      </c>
      <c r="BM176" s="2"/>
      <c r="BN176" s="2"/>
      <c r="BO176" s="2"/>
      <c r="BP176" s="2"/>
      <c r="BQ176" s="2"/>
      <c r="BR176" s="2"/>
      <c r="BS176" s="2"/>
      <c r="BT176" s="2"/>
      <c r="BU176" s="2" t="s">
        <v>4091</v>
      </c>
      <c r="BV176" s="2"/>
      <c r="BW176" s="2"/>
      <c r="BX176" s="2"/>
      <c r="BY176" s="2"/>
      <c r="BZ176" s="2"/>
      <c r="CA176" s="2"/>
      <c r="CB176" s="2"/>
      <c r="CC176" s="2" t="s">
        <v>158</v>
      </c>
      <c r="CD176" s="2" t="str">
        <f>HYPERLINK("https://patentscout.innography.com/share/LV1ivCiImLqrOnlLgOmNQw%3D%3D", "Innography Link")</f>
        <v>Innography Link</v>
      </c>
      <c r="CE176" s="2"/>
      <c r="CF176" s="2"/>
      <c r="CG176" s="2"/>
      <c r="CH176" s="2"/>
      <c r="CI176" s="2"/>
      <c r="CK176" s="2" t="s">
        <v>4092</v>
      </c>
    </row>
    <row r="177" spans="1:93" ht="152" customHeight="1" x14ac:dyDescent="0.45">
      <c r="A177" s="2">
        <v>0</v>
      </c>
      <c r="B177" s="2">
        <v>0</v>
      </c>
      <c r="C177" s="2"/>
      <c r="D177" s="2"/>
      <c r="E177" s="2"/>
      <c r="F177" s="2" t="s">
        <v>4093</v>
      </c>
      <c r="G177" s="2" t="s">
        <v>4093</v>
      </c>
      <c r="H177" s="2" t="s">
        <v>4094</v>
      </c>
      <c r="I177" s="2" t="s">
        <v>4094</v>
      </c>
      <c r="J177" s="2" t="s">
        <v>4095</v>
      </c>
      <c r="K177" s="2" t="s">
        <v>4093</v>
      </c>
      <c r="L177" s="2" t="s">
        <v>4093</v>
      </c>
      <c r="M177" s="2" t="s">
        <v>4096</v>
      </c>
      <c r="N177" s="2" t="s">
        <v>4097</v>
      </c>
      <c r="O177" s="2" t="s">
        <v>4098</v>
      </c>
      <c r="P177" s="2"/>
      <c r="Q177" s="2"/>
      <c r="R177" s="2"/>
      <c r="S177" s="2"/>
      <c r="T177" s="2">
        <v>83</v>
      </c>
      <c r="U177" s="2">
        <v>6</v>
      </c>
      <c r="V177" s="2" t="s">
        <v>4099</v>
      </c>
      <c r="W177" s="2"/>
      <c r="X177" s="2"/>
      <c r="Y177" s="2"/>
      <c r="Z177" s="2" t="s">
        <v>4100</v>
      </c>
      <c r="AA177" s="2" t="s">
        <v>4101</v>
      </c>
      <c r="AB177" s="2">
        <v>6</v>
      </c>
      <c r="AC177" s="2" t="s">
        <v>2543</v>
      </c>
      <c r="AD177" s="2"/>
      <c r="AE177" s="2">
        <v>454</v>
      </c>
      <c r="AF177" s="2" t="s">
        <v>141</v>
      </c>
      <c r="AG177" s="2"/>
      <c r="AH177" s="2"/>
      <c r="AI177" s="2"/>
      <c r="AJ177" s="2"/>
      <c r="AK177" s="2" t="s">
        <v>1816</v>
      </c>
      <c r="AL177" s="2" t="s">
        <v>4102</v>
      </c>
      <c r="AM177" s="2" t="s">
        <v>4102</v>
      </c>
      <c r="AN177" s="2" t="s">
        <v>4103</v>
      </c>
      <c r="AO177" s="2" t="s">
        <v>4104</v>
      </c>
      <c r="AP177" s="2">
        <v>248176300</v>
      </c>
      <c r="AQ177" s="2">
        <v>248176300</v>
      </c>
      <c r="AR177" s="2" t="s">
        <v>253</v>
      </c>
      <c r="AS177" s="2">
        <v>83837257</v>
      </c>
      <c r="AT177" s="2" t="s">
        <v>4105</v>
      </c>
      <c r="AU177" s="2"/>
      <c r="AV177" s="2"/>
      <c r="AW177" s="2" t="s">
        <v>4106</v>
      </c>
      <c r="AX177" s="2">
        <v>92267724</v>
      </c>
      <c r="AY177" s="2" t="s">
        <v>4107</v>
      </c>
      <c r="AZ177" s="2" t="s">
        <v>4108</v>
      </c>
      <c r="BA177" s="2" t="s">
        <v>4109</v>
      </c>
      <c r="BB177" s="2">
        <v>0</v>
      </c>
      <c r="BC177" s="3" t="str">
        <f>HYPERLINK("https://patentscout.innography.com/share/xa65g3JnmFS1klS1Xb6V8g%3D%3D","CN217736710")</f>
        <v>CN217736710</v>
      </c>
      <c r="BD177" s="2" t="s">
        <v>4110</v>
      </c>
      <c r="BE177" s="2" t="s">
        <v>4111</v>
      </c>
      <c r="BF177" s="2" t="s">
        <v>4112</v>
      </c>
      <c r="BG177" s="2" t="str">
        <f>HYPERLINK("https://patentscout.innography.com/share/xa65g3JnmFS1klS1Xb6V8g%3D%3D/download", "Download PDF")</f>
        <v>Download PDF</v>
      </c>
      <c r="BH177" s="2" t="s">
        <v>4113</v>
      </c>
      <c r="BI177" s="2"/>
      <c r="BJ177" s="2" t="s">
        <v>4107</v>
      </c>
      <c r="BK177" s="2" t="s">
        <v>4107</v>
      </c>
      <c r="BL177" s="2" t="s">
        <v>4107</v>
      </c>
      <c r="BM177" s="2"/>
      <c r="BN177" s="2"/>
      <c r="BO177" s="2"/>
      <c r="BP177" s="2"/>
      <c r="BQ177" s="2"/>
      <c r="BR177" s="2"/>
      <c r="BS177" s="2"/>
      <c r="BT177" s="2"/>
      <c r="BU177" s="2"/>
      <c r="BV177" s="2"/>
      <c r="BW177" s="2"/>
      <c r="BX177" s="2"/>
      <c r="BY177" s="2"/>
      <c r="BZ177" s="2"/>
      <c r="CA177" s="2"/>
      <c r="CB177" s="2"/>
      <c r="CC177" s="2" t="s">
        <v>3884</v>
      </c>
      <c r="CD177" s="2" t="str">
        <f>HYPERLINK("https://patentscout.innography.com/share/xa65g3JnmFS1klS1Xb6V8g%3D%3D", "Innography Link")</f>
        <v>Innography Link</v>
      </c>
      <c r="CE177" s="2"/>
      <c r="CF177" s="2"/>
      <c r="CG177" s="2"/>
      <c r="CH177" s="2"/>
      <c r="CI177" s="2"/>
      <c r="CK177" s="2" t="s">
        <v>4114</v>
      </c>
    </row>
    <row r="178" spans="1:93" ht="152" customHeight="1" x14ac:dyDescent="0.45">
      <c r="A178" s="2">
        <v>0</v>
      </c>
      <c r="B178" s="2">
        <v>0</v>
      </c>
      <c r="C178" s="2"/>
      <c r="D178" s="2"/>
      <c r="E178" s="2" t="s">
        <v>3283</v>
      </c>
      <c r="F178" s="2"/>
      <c r="G178" s="2" t="s">
        <v>3283</v>
      </c>
      <c r="H178" s="2" t="s">
        <v>2143</v>
      </c>
      <c r="I178" s="2" t="s">
        <v>2143</v>
      </c>
      <c r="J178" s="2" t="s">
        <v>3474</v>
      </c>
      <c r="K178" s="2" t="s">
        <v>3283</v>
      </c>
      <c r="L178" s="2" t="s">
        <v>3283</v>
      </c>
      <c r="M178" s="2" t="s">
        <v>4115</v>
      </c>
      <c r="N178" s="2" t="s">
        <v>4116</v>
      </c>
      <c r="O178" s="2" t="s">
        <v>4117</v>
      </c>
      <c r="P178" s="2"/>
      <c r="Q178" s="2"/>
      <c r="R178" s="2"/>
      <c r="S178" s="2"/>
      <c r="T178" s="2">
        <v>83</v>
      </c>
      <c r="U178" s="2">
        <v>7</v>
      </c>
      <c r="V178" s="2" t="s">
        <v>4118</v>
      </c>
      <c r="W178" s="2"/>
      <c r="X178" s="2"/>
      <c r="Y178" s="2"/>
      <c r="Z178" s="2" t="s">
        <v>4119</v>
      </c>
      <c r="AA178" s="2" t="s">
        <v>4120</v>
      </c>
      <c r="AB178" s="2">
        <v>10</v>
      </c>
      <c r="AC178" s="2" t="s">
        <v>214</v>
      </c>
      <c r="AD178" s="2"/>
      <c r="AE178" s="2">
        <v>235</v>
      </c>
      <c r="AF178" s="2" t="s">
        <v>141</v>
      </c>
      <c r="AG178" s="2"/>
      <c r="AH178" s="2"/>
      <c r="AI178" s="2"/>
      <c r="AJ178" s="2"/>
      <c r="AK178" s="2" t="s">
        <v>1816</v>
      </c>
      <c r="AL178" s="2" t="s">
        <v>1373</v>
      </c>
      <c r="AM178" s="2" t="s">
        <v>1373</v>
      </c>
      <c r="AN178" s="2" t="s">
        <v>539</v>
      </c>
      <c r="AO178" s="2" t="s">
        <v>4121</v>
      </c>
      <c r="AP178" s="2">
        <v>705348000</v>
      </c>
      <c r="AQ178" s="2">
        <v>705348000</v>
      </c>
      <c r="AR178" s="2" t="s">
        <v>253</v>
      </c>
      <c r="AS178" s="2">
        <v>83858520</v>
      </c>
      <c r="AT178" s="2" t="s">
        <v>4122</v>
      </c>
      <c r="AU178" s="2"/>
      <c r="AV178" s="2"/>
      <c r="AW178" s="2" t="s">
        <v>1821</v>
      </c>
      <c r="AX178" s="2">
        <v>92441688</v>
      </c>
      <c r="AY178" s="2" t="s">
        <v>4123</v>
      </c>
      <c r="AZ178" s="2" t="s">
        <v>4124</v>
      </c>
      <c r="BA178" s="2" t="s">
        <v>3484</v>
      </c>
      <c r="BB178" s="2">
        <v>0</v>
      </c>
      <c r="BC178" s="3" t="str">
        <f>HYPERLINK("https://patentscout.innography.com/share/zcBBx-tTUhNYT-u_npSNuA%3D%3D","CN115311045")</f>
        <v>CN115311045</v>
      </c>
      <c r="BD178" s="2" t="s">
        <v>4125</v>
      </c>
      <c r="BE178" s="2" t="s">
        <v>4126</v>
      </c>
      <c r="BF178" s="2" t="s">
        <v>4127</v>
      </c>
      <c r="BG178" s="2" t="str">
        <f>HYPERLINK("https://patentscout.innography.com/share/zcBBx-tTUhNYT-u_npSNuA%3D%3D/download", "Download PDF")</f>
        <v>Download PDF</v>
      </c>
      <c r="BH178" s="2" t="s">
        <v>4128</v>
      </c>
      <c r="BI178" s="2"/>
      <c r="BJ178" s="2" t="s">
        <v>4123</v>
      </c>
      <c r="BK178" s="2" t="s">
        <v>4123</v>
      </c>
      <c r="BL178" s="2" t="s">
        <v>4123</v>
      </c>
      <c r="BM178" s="2"/>
      <c r="BN178" s="2"/>
      <c r="BO178" s="2"/>
      <c r="BP178" s="2"/>
      <c r="BQ178" s="2"/>
      <c r="BR178" s="2"/>
      <c r="BS178" s="2"/>
      <c r="BT178" s="2"/>
      <c r="BU178" s="2"/>
      <c r="BV178" s="2"/>
      <c r="BW178" s="2"/>
      <c r="BX178" s="2"/>
      <c r="BY178" s="2"/>
      <c r="BZ178" s="2"/>
      <c r="CA178" s="2"/>
      <c r="CB178" s="2"/>
      <c r="CC178" s="2" t="s">
        <v>1829</v>
      </c>
      <c r="CD178" s="2" t="str">
        <f>HYPERLINK("https://patentscout.innography.com/share/zcBBx-tTUhNYT-u_npSNuA%3D%3D", "Innography Link")</f>
        <v>Innography Link</v>
      </c>
      <c r="CE178" s="2"/>
      <c r="CF178" s="2"/>
      <c r="CG178" s="2"/>
      <c r="CH178" s="2"/>
      <c r="CI178" s="2"/>
      <c r="CK178" s="2" t="s">
        <v>4129</v>
      </c>
      <c r="CL178" s="2" t="s">
        <v>4130</v>
      </c>
    </row>
    <row r="179" spans="1:93" ht="152" customHeight="1" x14ac:dyDescent="0.45">
      <c r="A179" s="2">
        <v>0</v>
      </c>
      <c r="B179" s="2">
        <v>5</v>
      </c>
      <c r="C179" s="2" t="s">
        <v>4131</v>
      </c>
      <c r="D179" s="2"/>
      <c r="E179" s="2"/>
      <c r="F179" s="2" t="s">
        <v>4132</v>
      </c>
      <c r="G179" s="2" t="s">
        <v>4132</v>
      </c>
      <c r="H179" s="2" t="s">
        <v>889</v>
      </c>
      <c r="I179" s="2" t="s">
        <v>889</v>
      </c>
      <c r="J179" s="2" t="s">
        <v>890</v>
      </c>
      <c r="K179" s="2" t="s">
        <v>4132</v>
      </c>
      <c r="L179" s="2" t="s">
        <v>4132</v>
      </c>
      <c r="M179" s="2" t="s">
        <v>4133</v>
      </c>
      <c r="N179" s="2" t="s">
        <v>4134</v>
      </c>
      <c r="O179" s="2"/>
      <c r="P179" s="2" t="s">
        <v>4135</v>
      </c>
      <c r="Q179" s="2" t="s">
        <v>4135</v>
      </c>
      <c r="R179" s="2" t="s">
        <v>4136</v>
      </c>
      <c r="S179" s="2" t="s">
        <v>4135</v>
      </c>
      <c r="T179" s="2">
        <v>83</v>
      </c>
      <c r="U179" s="2">
        <v>7</v>
      </c>
      <c r="V179" s="2" t="s">
        <v>4137</v>
      </c>
      <c r="W179" s="2"/>
      <c r="X179" s="2"/>
      <c r="Y179" s="2"/>
      <c r="Z179" s="2" t="s">
        <v>4138</v>
      </c>
      <c r="AA179" s="2" t="s">
        <v>4139</v>
      </c>
      <c r="AB179" s="2">
        <v>8</v>
      </c>
      <c r="AC179" s="2" t="s">
        <v>235</v>
      </c>
      <c r="AD179" s="2" t="s">
        <v>4140</v>
      </c>
      <c r="AE179" s="2">
        <v>349</v>
      </c>
      <c r="AF179" s="2" t="s">
        <v>141</v>
      </c>
      <c r="AG179" s="2"/>
      <c r="AH179" s="2"/>
      <c r="AI179" s="2"/>
      <c r="AJ179" s="2"/>
      <c r="AK179" s="2" t="s">
        <v>217</v>
      </c>
      <c r="AL179" s="2" t="s">
        <v>1348</v>
      </c>
      <c r="AM179" s="2" t="s">
        <v>1348</v>
      </c>
      <c r="AN179" s="2" t="s">
        <v>1349</v>
      </c>
      <c r="AO179" s="2" t="s">
        <v>4141</v>
      </c>
      <c r="AP179" s="2">
        <v>705348000</v>
      </c>
      <c r="AQ179" s="2">
        <v>705348000</v>
      </c>
      <c r="AR179" s="2" t="s">
        <v>253</v>
      </c>
      <c r="AS179" s="2">
        <v>84235976</v>
      </c>
      <c r="AT179" s="2" t="s">
        <v>4142</v>
      </c>
      <c r="AU179" s="2"/>
      <c r="AV179" s="2"/>
      <c r="AW179" s="2" t="s">
        <v>336</v>
      </c>
      <c r="AX179" s="2">
        <v>92813201</v>
      </c>
      <c r="AY179" s="2" t="s">
        <v>4143</v>
      </c>
      <c r="AZ179" s="2" t="s">
        <v>4144</v>
      </c>
      <c r="BA179" s="2" t="s">
        <v>901</v>
      </c>
      <c r="BB179" s="2">
        <v>0</v>
      </c>
      <c r="BC179" s="3" t="str">
        <f>HYPERLINK("https://patentscout.innography.com/share/myePCAmIWei_KoKNqaH1ng%3D%3D","KR102466655")</f>
        <v>KR102466655</v>
      </c>
      <c r="BD179" s="2" t="s">
        <v>4145</v>
      </c>
      <c r="BE179" s="2" t="s">
        <v>4146</v>
      </c>
      <c r="BF179" s="2" t="s">
        <v>4147</v>
      </c>
      <c r="BG179" s="2" t="str">
        <f>HYPERLINK("https://patentscout.innography.com/share/myePCAmIWei_KoKNqaH1ng%3D%3D/download", "Download PDF")</f>
        <v>Download PDF</v>
      </c>
      <c r="BH179" s="2" t="s">
        <v>4148</v>
      </c>
      <c r="BI179" s="2"/>
      <c r="BJ179" s="2" t="s">
        <v>4149</v>
      </c>
      <c r="BK179" s="2" t="s">
        <v>4149</v>
      </c>
      <c r="BL179" s="2" t="s">
        <v>4149</v>
      </c>
      <c r="BM179" s="2"/>
      <c r="BN179" s="2"/>
      <c r="BO179" s="2"/>
      <c r="BP179" s="2"/>
      <c r="BQ179" s="2"/>
      <c r="BR179" s="2"/>
      <c r="BS179" s="2"/>
      <c r="BT179" s="2"/>
      <c r="BU179" s="2"/>
      <c r="BV179" s="2"/>
      <c r="BW179" s="2"/>
      <c r="BX179" s="2"/>
      <c r="BY179" s="2"/>
      <c r="BZ179" s="2"/>
      <c r="CA179" s="2"/>
      <c r="CB179" s="2"/>
      <c r="CC179" s="2" t="s">
        <v>243</v>
      </c>
      <c r="CD179" s="2" t="str">
        <f>HYPERLINK("https://patentscout.innography.com/share/myePCAmIWei_KoKNqaH1ng%3D%3D", "Innography Link")</f>
        <v>Innography Link</v>
      </c>
      <c r="CE179" s="2"/>
      <c r="CF179" s="2"/>
      <c r="CG179" s="2"/>
      <c r="CH179" s="2"/>
      <c r="CI179" s="2"/>
      <c r="CK179" s="2" t="s">
        <v>4150</v>
      </c>
      <c r="CL179" s="2" t="s">
        <v>497</v>
      </c>
      <c r="CM179" s="2" t="s">
        <v>854</v>
      </c>
    </row>
    <row r="180" spans="1:93" ht="152" customHeight="1" x14ac:dyDescent="0.45">
      <c r="A180" s="2">
        <v>142</v>
      </c>
      <c r="B180" s="2">
        <v>6</v>
      </c>
      <c r="C180" s="2" t="s">
        <v>4151</v>
      </c>
      <c r="D180" s="2" t="s">
        <v>4152</v>
      </c>
      <c r="E180" s="2" t="s">
        <v>4153</v>
      </c>
      <c r="F180" s="2"/>
      <c r="G180" s="2" t="s">
        <v>4153</v>
      </c>
      <c r="H180" s="2" t="s">
        <v>4154</v>
      </c>
      <c r="I180" s="2" t="s">
        <v>4154</v>
      </c>
      <c r="J180" s="2" t="s">
        <v>4155</v>
      </c>
      <c r="K180" s="2" t="s">
        <v>4153</v>
      </c>
      <c r="L180" s="2" t="s">
        <v>4153</v>
      </c>
      <c r="M180" s="2" t="s">
        <v>4156</v>
      </c>
      <c r="N180" s="2" t="s">
        <v>4157</v>
      </c>
      <c r="O180" s="2"/>
      <c r="P180" s="2" t="s">
        <v>381</v>
      </c>
      <c r="Q180" s="2" t="s">
        <v>382</v>
      </c>
      <c r="R180" s="2" t="s">
        <v>382</v>
      </c>
      <c r="S180" s="2" t="s">
        <v>4158</v>
      </c>
      <c r="T180" s="2">
        <v>79</v>
      </c>
      <c r="U180" s="2">
        <v>70</v>
      </c>
      <c r="V180" s="2" t="s">
        <v>4159</v>
      </c>
      <c r="W180" s="2" t="s">
        <v>4160</v>
      </c>
      <c r="X180" s="2">
        <v>2141</v>
      </c>
      <c r="Y180" s="2" t="s">
        <v>4161</v>
      </c>
      <c r="Z180" s="2" t="s">
        <v>4162</v>
      </c>
      <c r="AA180" s="2" t="s">
        <v>4163</v>
      </c>
      <c r="AB180" s="2">
        <v>35</v>
      </c>
      <c r="AC180" s="2" t="s">
        <v>139</v>
      </c>
      <c r="AD180" s="2" t="s">
        <v>4164</v>
      </c>
      <c r="AE180" s="2">
        <v>111</v>
      </c>
      <c r="AF180" s="2" t="s">
        <v>180</v>
      </c>
      <c r="AG180" s="2"/>
      <c r="AH180" s="2"/>
      <c r="AI180" s="2"/>
      <c r="AJ180" s="2"/>
      <c r="AK180" s="2" t="s">
        <v>142</v>
      </c>
      <c r="AL180" s="2" t="s">
        <v>620</v>
      </c>
      <c r="AM180" s="2" t="s">
        <v>4165</v>
      </c>
      <c r="AN180" s="2" t="s">
        <v>4166</v>
      </c>
      <c r="AO180" s="2" t="s">
        <v>4166</v>
      </c>
      <c r="AP180" s="2">
        <v>370352000</v>
      </c>
      <c r="AQ180" s="2">
        <v>370352000</v>
      </c>
      <c r="AR180" s="2" t="s">
        <v>1406</v>
      </c>
      <c r="AS180" s="2">
        <v>41400258</v>
      </c>
      <c r="AT180" s="2" t="s">
        <v>4167</v>
      </c>
      <c r="AU180" s="2"/>
      <c r="AV180" s="2"/>
      <c r="AW180" s="2" t="s">
        <v>148</v>
      </c>
      <c r="AX180" s="2">
        <v>33272411</v>
      </c>
      <c r="AY180" s="2" t="s">
        <v>4168</v>
      </c>
      <c r="AZ180" s="2" t="s">
        <v>4169</v>
      </c>
      <c r="BA180" s="2" t="s">
        <v>306</v>
      </c>
      <c r="BB180" s="2">
        <v>0</v>
      </c>
      <c r="BC180" s="3" t="str">
        <f>HYPERLINK("https://patentscout.innography.com/share/Gw3d9kuS4t8dJ1ib-Y2YYg%3D%3D","US20090303984")</f>
        <v>US20090303984</v>
      </c>
      <c r="BD180" s="2" t="s">
        <v>4170</v>
      </c>
      <c r="BE180" s="2" t="s">
        <v>4171</v>
      </c>
      <c r="BF180" s="2" t="s">
        <v>4172</v>
      </c>
      <c r="BG180" s="2" t="str">
        <f>HYPERLINK("https://patentscout.innography.com/share/Gw3d9kuS4t8dJ1ib-Y2YYg%3D%3D/download", "Download PDF")</f>
        <v>Download PDF</v>
      </c>
      <c r="BH180" s="2" t="s">
        <v>4173</v>
      </c>
      <c r="BI180" s="2"/>
      <c r="BJ180" s="2" t="s">
        <v>4168</v>
      </c>
      <c r="BK180" s="2" t="s">
        <v>4168</v>
      </c>
      <c r="BL180" s="2" t="s">
        <v>4168</v>
      </c>
      <c r="BM180" s="2" t="s">
        <v>1682</v>
      </c>
      <c r="BN180" s="2" t="s">
        <v>4174</v>
      </c>
      <c r="BO180" s="2" t="s">
        <v>4175</v>
      </c>
      <c r="BP180" s="2"/>
      <c r="BQ180" s="2" t="s">
        <v>4176</v>
      </c>
      <c r="BR180" s="2" t="s">
        <v>4177</v>
      </c>
      <c r="BS180" s="2" t="s">
        <v>4178</v>
      </c>
      <c r="BT180" s="2" t="s">
        <v>1136</v>
      </c>
      <c r="BU180" s="2" t="s">
        <v>4179</v>
      </c>
      <c r="BV180" s="2"/>
      <c r="BW180" s="2" t="s">
        <v>204</v>
      </c>
      <c r="BX180" s="2"/>
      <c r="BY180" s="2"/>
      <c r="BZ180" s="2"/>
      <c r="CA180" s="2"/>
      <c r="CB180" s="2"/>
      <c r="CC180" s="2" t="s">
        <v>158</v>
      </c>
      <c r="CD180" s="2" t="str">
        <f>HYPERLINK("https://patentscout.innography.com/share/Gw3d9kuS4t8dJ1ib-Y2YYg%3D%3D", "Innography Link")</f>
        <v>Innography Link</v>
      </c>
      <c r="CE180" s="2"/>
      <c r="CF180" s="2"/>
      <c r="CG180" s="2"/>
      <c r="CH180" s="2"/>
      <c r="CI180" s="2"/>
      <c r="CK180" s="2" t="s">
        <v>4180</v>
      </c>
      <c r="CL180" s="2" t="s">
        <v>4181</v>
      </c>
      <c r="CM180" s="2" t="s">
        <v>4182</v>
      </c>
      <c r="CN180" s="2" t="s">
        <v>4183</v>
      </c>
      <c r="CO180" s="2" t="s">
        <v>4184</v>
      </c>
    </row>
    <row r="181" spans="1:93" ht="152" customHeight="1" x14ac:dyDescent="0.45">
      <c r="A181" s="2">
        <v>0</v>
      </c>
      <c r="B181" s="2">
        <v>0</v>
      </c>
      <c r="C181" s="2"/>
      <c r="D181" s="2"/>
      <c r="E181" s="2" t="s">
        <v>4185</v>
      </c>
      <c r="F181" s="2" t="s">
        <v>4186</v>
      </c>
      <c r="G181" s="2" t="s">
        <v>4186</v>
      </c>
      <c r="H181" s="2" t="s">
        <v>4187</v>
      </c>
      <c r="I181" s="2" t="s">
        <v>4188</v>
      </c>
      <c r="J181" s="2" t="s">
        <v>4189</v>
      </c>
      <c r="K181" s="2" t="s">
        <v>4190</v>
      </c>
      <c r="L181" s="2" t="s">
        <v>4190</v>
      </c>
      <c r="M181" s="2" t="s">
        <v>4191</v>
      </c>
      <c r="N181" s="2" t="s">
        <v>4192</v>
      </c>
      <c r="O181" s="2" t="s">
        <v>4193</v>
      </c>
      <c r="P181" s="2"/>
      <c r="Q181" s="2" t="s">
        <v>4194</v>
      </c>
      <c r="R181" s="2" t="s">
        <v>4195</v>
      </c>
      <c r="S181" s="2"/>
      <c r="T181" s="2">
        <v>79</v>
      </c>
      <c r="U181" s="2">
        <v>20</v>
      </c>
      <c r="V181" s="2" t="s">
        <v>4196</v>
      </c>
      <c r="W181" s="2"/>
      <c r="X181" s="2"/>
      <c r="Y181" s="2"/>
      <c r="Z181" s="2" t="s">
        <v>4197</v>
      </c>
      <c r="AA181" s="2" t="s">
        <v>4198</v>
      </c>
      <c r="AB181" s="2">
        <v>9</v>
      </c>
      <c r="AC181" s="2" t="s">
        <v>3878</v>
      </c>
      <c r="AD181" s="2" t="s">
        <v>4199</v>
      </c>
      <c r="AE181" s="2">
        <v>151</v>
      </c>
      <c r="AF181" s="2" t="s">
        <v>141</v>
      </c>
      <c r="AG181" s="2"/>
      <c r="AH181" s="2"/>
      <c r="AI181" s="2" t="s">
        <v>4200</v>
      </c>
      <c r="AJ181" s="2"/>
      <c r="AK181" s="2" t="s">
        <v>1816</v>
      </c>
      <c r="AL181" s="2" t="s">
        <v>271</v>
      </c>
      <c r="AM181" s="2" t="s">
        <v>4201</v>
      </c>
      <c r="AN181" s="2" t="s">
        <v>1035</v>
      </c>
      <c r="AO181" s="2" t="s">
        <v>4202</v>
      </c>
      <c r="AP181" s="2">
        <v>715701000</v>
      </c>
      <c r="AQ181" s="2">
        <v>715701000</v>
      </c>
      <c r="AR181" s="2" t="s">
        <v>146</v>
      </c>
      <c r="AS181" s="2">
        <v>59961157</v>
      </c>
      <c r="AT181" s="2" t="s">
        <v>4203</v>
      </c>
      <c r="AU181" s="2"/>
      <c r="AV181" s="2"/>
      <c r="AW181" s="2" t="s">
        <v>3879</v>
      </c>
      <c r="AX181" s="2">
        <v>55186268</v>
      </c>
      <c r="AY181" s="2" t="s">
        <v>4204</v>
      </c>
      <c r="AZ181" s="2" t="s">
        <v>4205</v>
      </c>
      <c r="BA181" s="2" t="s">
        <v>4206</v>
      </c>
      <c r="BB181" s="2">
        <v>0</v>
      </c>
      <c r="BC181" s="3" t="str">
        <f>HYPERLINK("https://patentscout.innography.com/share/1ORJj9fSiYLgmkNiQ8sMyQ%3D%3D","CN107239135")</f>
        <v>CN107239135</v>
      </c>
      <c r="BD181" s="2" t="s">
        <v>4207</v>
      </c>
      <c r="BE181" s="2" t="s">
        <v>4208</v>
      </c>
      <c r="BF181" s="2" t="s">
        <v>4209</v>
      </c>
      <c r="BG181" s="2" t="str">
        <f>HYPERLINK("https://patentscout.innography.com/share/1ORJj9fSiYLgmkNiQ8sMyQ%3D%3D/download", "Download PDF")</f>
        <v>Download PDF</v>
      </c>
      <c r="BH181" s="2" t="s">
        <v>4210</v>
      </c>
      <c r="BI181" s="2"/>
      <c r="BJ181" s="2" t="s">
        <v>4200</v>
      </c>
      <c r="BK181" s="2" t="s">
        <v>4211</v>
      </c>
      <c r="BL181" s="2" t="s">
        <v>4211</v>
      </c>
      <c r="BM181" s="2"/>
      <c r="BN181" s="2"/>
      <c r="BO181" s="2"/>
      <c r="BP181" s="2"/>
      <c r="BQ181" s="2"/>
      <c r="BR181" s="2"/>
      <c r="BS181" s="2"/>
      <c r="BT181" s="2"/>
      <c r="BU181" s="2"/>
      <c r="BV181" s="2" t="s">
        <v>4212</v>
      </c>
      <c r="BW181" s="2"/>
      <c r="BX181" s="2"/>
      <c r="BY181" s="2"/>
      <c r="BZ181" s="2"/>
      <c r="CA181" s="2"/>
      <c r="CB181" s="2"/>
      <c r="CC181" s="2" t="s">
        <v>3884</v>
      </c>
      <c r="CD181" s="2" t="str">
        <f>HYPERLINK("https://patentscout.innography.com/share/1ORJj9fSiYLgmkNiQ8sMyQ%3D%3D", "Innography Link")</f>
        <v>Innography Link</v>
      </c>
      <c r="CE181" s="2"/>
      <c r="CF181" s="2"/>
      <c r="CG181" s="2"/>
      <c r="CH181" s="2"/>
      <c r="CI181" s="2"/>
      <c r="CK181" s="2" t="s">
        <v>4213</v>
      </c>
      <c r="CL181" s="2" t="s">
        <v>4214</v>
      </c>
      <c r="CM181" s="2" t="s">
        <v>4215</v>
      </c>
    </row>
    <row r="182" spans="1:93" ht="152" customHeight="1" x14ac:dyDescent="0.45">
      <c r="A182" s="2">
        <v>1</v>
      </c>
      <c r="B182" s="2">
        <v>0</v>
      </c>
      <c r="C182" s="2"/>
      <c r="D182" s="2" t="s">
        <v>4216</v>
      </c>
      <c r="E182" s="2" t="s">
        <v>4217</v>
      </c>
      <c r="F182" s="2" t="s">
        <v>4218</v>
      </c>
      <c r="G182" s="2" t="s">
        <v>4218</v>
      </c>
      <c r="H182" s="2" t="s">
        <v>4219</v>
      </c>
      <c r="I182" s="2" t="s">
        <v>4219</v>
      </c>
      <c r="J182" s="2" t="s">
        <v>4220</v>
      </c>
      <c r="K182" s="2" t="s">
        <v>4221</v>
      </c>
      <c r="L182" s="2" t="s">
        <v>4221</v>
      </c>
      <c r="M182" s="2" t="s">
        <v>4222</v>
      </c>
      <c r="N182" s="2" t="s">
        <v>4223</v>
      </c>
      <c r="O182" s="2" t="s">
        <v>4224</v>
      </c>
      <c r="P182" s="2" t="s">
        <v>173</v>
      </c>
      <c r="Q182" s="2" t="s">
        <v>173</v>
      </c>
      <c r="R182" s="2" t="s">
        <v>173</v>
      </c>
      <c r="S182" s="2" t="s">
        <v>173</v>
      </c>
      <c r="T182" s="2">
        <v>79</v>
      </c>
      <c r="U182" s="2">
        <v>40</v>
      </c>
      <c r="V182" s="2" t="s">
        <v>4225</v>
      </c>
      <c r="W182" s="2"/>
      <c r="X182" s="2"/>
      <c r="Y182" s="2"/>
      <c r="Z182" s="2" t="s">
        <v>4226</v>
      </c>
      <c r="AA182" s="2" t="s">
        <v>4226</v>
      </c>
      <c r="AB182" s="2">
        <v>13</v>
      </c>
      <c r="AC182" s="2" t="s">
        <v>235</v>
      </c>
      <c r="AD182" s="2" t="s">
        <v>4227</v>
      </c>
      <c r="AE182" s="2">
        <v>220</v>
      </c>
      <c r="AF182" s="2" t="s">
        <v>141</v>
      </c>
      <c r="AG182" s="2"/>
      <c r="AH182" s="2"/>
      <c r="AI182" s="2" t="s">
        <v>4228</v>
      </c>
      <c r="AJ182" s="2"/>
      <c r="AK182" s="2" t="s">
        <v>217</v>
      </c>
      <c r="AL182" s="2" t="s">
        <v>4229</v>
      </c>
      <c r="AM182" s="2" t="s">
        <v>4230</v>
      </c>
      <c r="AN182" s="2" t="s">
        <v>359</v>
      </c>
      <c r="AO182" s="2" t="s">
        <v>4231</v>
      </c>
      <c r="AP182" s="2">
        <v>705348000</v>
      </c>
      <c r="AQ182" s="2">
        <v>705348000</v>
      </c>
      <c r="AR182" s="2" t="s">
        <v>275</v>
      </c>
      <c r="AS182" s="2">
        <v>54366952</v>
      </c>
      <c r="AT182" s="2" t="s">
        <v>4232</v>
      </c>
      <c r="AU182" s="2"/>
      <c r="AV182" s="2"/>
      <c r="AW182" s="2" t="s">
        <v>4233</v>
      </c>
      <c r="AX182" s="2">
        <v>47260729</v>
      </c>
      <c r="AY182" s="2" t="s">
        <v>4234</v>
      </c>
      <c r="AZ182" s="2" t="s">
        <v>4235</v>
      </c>
      <c r="BA182" s="2" t="s">
        <v>4236</v>
      </c>
      <c r="BB182" s="2">
        <v>0</v>
      </c>
      <c r="BC182" s="3" t="str">
        <f>HYPERLINK("https://patentscout.innography.com/share/xW327k17Z8c3886IE7kGYg%3D%3D","KR101808598")</f>
        <v>KR101808598</v>
      </c>
      <c r="BD182" s="2" t="s">
        <v>4237</v>
      </c>
      <c r="BE182" s="2" t="s">
        <v>4238</v>
      </c>
      <c r="BF182" s="2" t="s">
        <v>4239</v>
      </c>
      <c r="BG182" s="2" t="str">
        <f>HYPERLINK("https://patentscout.innography.com/share/xW327k17Z8c3886IE7kGYg%3D%3D/download", "Download PDF")</f>
        <v>Download PDF</v>
      </c>
      <c r="BH182" s="2" t="s">
        <v>4240</v>
      </c>
      <c r="BI182" s="2"/>
      <c r="BJ182" s="2" t="s">
        <v>4228</v>
      </c>
      <c r="BK182" s="2" t="s">
        <v>4228</v>
      </c>
      <c r="BL182" s="2" t="s">
        <v>4228</v>
      </c>
      <c r="BM182" s="2"/>
      <c r="BN182" s="2"/>
      <c r="BO182" s="2"/>
      <c r="BP182" s="2"/>
      <c r="BQ182" s="2"/>
      <c r="BR182" s="2"/>
      <c r="BS182" s="2"/>
      <c r="BT182" s="2"/>
      <c r="BU182" s="2" t="s">
        <v>4241</v>
      </c>
      <c r="BV182" s="2" t="s">
        <v>4242</v>
      </c>
      <c r="BW182" s="2"/>
      <c r="BX182" s="2"/>
      <c r="BY182" s="2"/>
      <c r="BZ182" s="2"/>
      <c r="CA182" s="2"/>
      <c r="CB182" s="2"/>
      <c r="CC182" s="2" t="s">
        <v>243</v>
      </c>
      <c r="CD182" s="2" t="str">
        <f>HYPERLINK("https://patentscout.innography.com/share/xW327k17Z8c3886IE7kGYg%3D%3D", "Innography Link")</f>
        <v>Innography Link</v>
      </c>
      <c r="CE182" s="2"/>
      <c r="CF182" s="2"/>
      <c r="CG182" s="2"/>
      <c r="CH182" s="2"/>
      <c r="CI182" s="2"/>
      <c r="CK182" s="2" t="s">
        <v>4243</v>
      </c>
      <c r="CL182" s="2" t="s">
        <v>4244</v>
      </c>
    </row>
    <row r="183" spans="1:93" ht="152" customHeight="1" x14ac:dyDescent="0.45">
      <c r="A183" s="2">
        <v>0</v>
      </c>
      <c r="B183" s="2">
        <v>17</v>
      </c>
      <c r="C183" s="2" t="s">
        <v>4245</v>
      </c>
      <c r="D183" s="2"/>
      <c r="E183" s="2" t="s">
        <v>4221</v>
      </c>
      <c r="F183" s="2" t="s">
        <v>4246</v>
      </c>
      <c r="G183" s="2" t="s">
        <v>4246</v>
      </c>
      <c r="H183" s="2" t="s">
        <v>4219</v>
      </c>
      <c r="I183" s="2" t="s">
        <v>4247</v>
      </c>
      <c r="J183" s="2" t="s">
        <v>4248</v>
      </c>
      <c r="K183" s="2" t="s">
        <v>4221</v>
      </c>
      <c r="L183" s="2" t="s">
        <v>4221</v>
      </c>
      <c r="M183" s="2" t="s">
        <v>4249</v>
      </c>
      <c r="N183" s="2" t="s">
        <v>4250</v>
      </c>
      <c r="O183" s="2" t="s">
        <v>4251</v>
      </c>
      <c r="P183" s="2" t="s">
        <v>173</v>
      </c>
      <c r="Q183" s="2" t="s">
        <v>173</v>
      </c>
      <c r="R183" s="2" t="s">
        <v>173</v>
      </c>
      <c r="S183" s="2" t="s">
        <v>4252</v>
      </c>
      <c r="T183" s="2">
        <v>79</v>
      </c>
      <c r="U183" s="2">
        <v>16</v>
      </c>
      <c r="V183" s="2" t="s">
        <v>4253</v>
      </c>
      <c r="W183" s="2" t="s">
        <v>4254</v>
      </c>
      <c r="X183" s="2">
        <v>3711</v>
      </c>
      <c r="Y183" s="2" t="s">
        <v>4255</v>
      </c>
      <c r="Z183" s="2" t="s">
        <v>4256</v>
      </c>
      <c r="AA183" s="2" t="s">
        <v>4257</v>
      </c>
      <c r="AB183" s="2">
        <v>15</v>
      </c>
      <c r="AC183" s="2" t="s">
        <v>250</v>
      </c>
      <c r="AD183" s="2" t="s">
        <v>4227</v>
      </c>
      <c r="AE183" s="2">
        <v>99</v>
      </c>
      <c r="AF183" s="2" t="s">
        <v>180</v>
      </c>
      <c r="AG183" s="2"/>
      <c r="AH183" s="2"/>
      <c r="AI183" s="2" t="s">
        <v>4258</v>
      </c>
      <c r="AJ183" s="2"/>
      <c r="AK183" s="2" t="s">
        <v>142</v>
      </c>
      <c r="AL183" s="2" t="s">
        <v>4229</v>
      </c>
      <c r="AM183" s="2" t="s">
        <v>4230</v>
      </c>
      <c r="AN183" s="2" t="s">
        <v>4259</v>
      </c>
      <c r="AO183" s="2" t="s">
        <v>4260</v>
      </c>
      <c r="AP183" s="2">
        <v>472012000</v>
      </c>
      <c r="AQ183" s="2">
        <v>472012000</v>
      </c>
      <c r="AR183" s="2" t="s">
        <v>541</v>
      </c>
      <c r="AS183" s="2">
        <v>54366952</v>
      </c>
      <c r="AT183" s="2" t="s">
        <v>4232</v>
      </c>
      <c r="AU183" s="2"/>
      <c r="AV183" s="2"/>
      <c r="AW183" s="2" t="s">
        <v>4261</v>
      </c>
      <c r="AX183" s="2">
        <v>47260729</v>
      </c>
      <c r="AY183" s="2" t="s">
        <v>4234</v>
      </c>
      <c r="AZ183" s="2" t="s">
        <v>4262</v>
      </c>
      <c r="BA183" s="2" t="s">
        <v>255</v>
      </c>
      <c r="BB183" s="2">
        <v>0</v>
      </c>
      <c r="BC183" s="3" t="str">
        <f>HYPERLINK("https://patentscout.innography.com/share/KJZWmiReT-1WLktLzMQWXw%3D%3D","US9480928")</f>
        <v>US9480928</v>
      </c>
      <c r="BD183" s="2" t="s">
        <v>4263</v>
      </c>
      <c r="BE183" s="2" t="s">
        <v>4264</v>
      </c>
      <c r="BF183" s="2" t="s">
        <v>4265</v>
      </c>
      <c r="BG183" s="2" t="str">
        <f>HYPERLINK("https://patentscout.innography.com/share/KJZWmiReT-1WLktLzMQWXw%3D%3D/download", "Download PDF")</f>
        <v>Download PDF</v>
      </c>
      <c r="BH183" s="2" t="s">
        <v>4266</v>
      </c>
      <c r="BI183" s="2"/>
      <c r="BJ183" s="2" t="s">
        <v>4258</v>
      </c>
      <c r="BK183" s="2" t="s">
        <v>4228</v>
      </c>
      <c r="BL183" s="2" t="s">
        <v>4228</v>
      </c>
      <c r="BM183" s="2"/>
      <c r="BN183" s="2"/>
      <c r="BO183" s="2" t="s">
        <v>4267</v>
      </c>
      <c r="BP183" s="2"/>
      <c r="BQ183" s="2"/>
      <c r="BR183" s="2" t="s">
        <v>4268</v>
      </c>
      <c r="BS183" s="2"/>
      <c r="BT183" s="2" t="s">
        <v>168</v>
      </c>
      <c r="BU183" s="2" t="s">
        <v>4269</v>
      </c>
      <c r="BV183" s="2"/>
      <c r="BW183" s="2" t="s">
        <v>318</v>
      </c>
      <c r="BX183" s="2"/>
      <c r="BY183" s="2"/>
      <c r="BZ183" s="2"/>
      <c r="CA183" s="2"/>
      <c r="CB183" s="2"/>
      <c r="CC183" s="2" t="s">
        <v>259</v>
      </c>
      <c r="CD183" s="2" t="str">
        <f>HYPERLINK("https://patentscout.innography.com/share/KJZWmiReT-1WLktLzMQWXw%3D%3D", "Innography Link")</f>
        <v>Innography Link</v>
      </c>
      <c r="CE183" s="2"/>
      <c r="CF183" s="2"/>
      <c r="CG183" s="2"/>
      <c r="CH183" s="2"/>
      <c r="CI183" s="2"/>
      <c r="CK183" s="2" t="s">
        <v>4270</v>
      </c>
      <c r="CL183" s="2" t="s">
        <v>4271</v>
      </c>
      <c r="CM183" s="2" t="s">
        <v>4272</v>
      </c>
      <c r="CN183" s="2" t="s">
        <v>4273</v>
      </c>
    </row>
    <row r="184" spans="1:93" ht="30" customHeight="1" x14ac:dyDescent="0.45">
      <c r="A184" s="2">
        <v>4</v>
      </c>
      <c r="B184" s="2">
        <v>0</v>
      </c>
      <c r="C184" s="2"/>
      <c r="D184" s="2" t="s">
        <v>4274</v>
      </c>
      <c r="E184" s="2" t="s">
        <v>4275</v>
      </c>
      <c r="F184" s="2"/>
      <c r="G184" s="2" t="s">
        <v>4275</v>
      </c>
      <c r="H184" s="2" t="s">
        <v>4276</v>
      </c>
      <c r="I184" s="2" t="s">
        <v>4276</v>
      </c>
      <c r="J184" s="2" t="s">
        <v>4277</v>
      </c>
      <c r="K184" s="2" t="s">
        <v>4275</v>
      </c>
      <c r="L184" s="2" t="s">
        <v>4275</v>
      </c>
      <c r="M184" s="2" t="s">
        <v>4278</v>
      </c>
      <c r="N184" s="2" t="s">
        <v>4279</v>
      </c>
      <c r="O184" s="2" t="s">
        <v>4280</v>
      </c>
      <c r="P184" s="2"/>
      <c r="Q184" s="2"/>
      <c r="R184" s="2"/>
      <c r="S184" s="2"/>
      <c r="T184" s="2">
        <v>79</v>
      </c>
      <c r="U184" s="2">
        <v>8</v>
      </c>
      <c r="V184" s="2" t="s">
        <v>4281</v>
      </c>
      <c r="W184" s="2"/>
      <c r="X184" s="2"/>
      <c r="Y184" s="2"/>
      <c r="Z184" s="2" t="s">
        <v>4282</v>
      </c>
      <c r="AA184" s="2" t="s">
        <v>4283</v>
      </c>
      <c r="AB184" s="2">
        <v>6</v>
      </c>
      <c r="AC184" s="2" t="s">
        <v>214</v>
      </c>
      <c r="AD184" s="2"/>
      <c r="AE184" s="2">
        <v>247</v>
      </c>
      <c r="AF184" s="2" t="s">
        <v>180</v>
      </c>
      <c r="AG184" s="2"/>
      <c r="AH184" s="2"/>
      <c r="AI184" s="2"/>
      <c r="AJ184" s="2"/>
      <c r="AK184" s="2" t="s">
        <v>1108</v>
      </c>
      <c r="AL184" s="2" t="s">
        <v>4284</v>
      </c>
      <c r="AM184" s="2" t="s">
        <v>4284</v>
      </c>
      <c r="AN184" s="2" t="s">
        <v>4285</v>
      </c>
      <c r="AO184" s="2" t="s">
        <v>4286</v>
      </c>
      <c r="AP184" s="2">
        <v>710244000</v>
      </c>
      <c r="AQ184" s="2">
        <v>710244000</v>
      </c>
      <c r="AR184" s="2" t="s">
        <v>253</v>
      </c>
      <c r="AS184" s="2">
        <v>13993148</v>
      </c>
      <c r="AT184" s="2" t="s">
        <v>4287</v>
      </c>
      <c r="AU184" s="2"/>
      <c r="AV184" s="2"/>
      <c r="AW184" s="2" t="s">
        <v>1111</v>
      </c>
      <c r="AX184" s="2">
        <v>16412663</v>
      </c>
      <c r="AY184" s="2" t="s">
        <v>4288</v>
      </c>
      <c r="AZ184" s="2" t="s">
        <v>4289</v>
      </c>
      <c r="BA184" s="2" t="s">
        <v>4290</v>
      </c>
      <c r="BB184" s="2">
        <v>0</v>
      </c>
      <c r="BC184" s="3" t="str">
        <f>HYPERLINK("https://patentscout.innography.com/share/tJvtQJ4LlS9_DXrGW2Wfbg%3D%3D","JPH05265838")</f>
        <v>JPH05265838</v>
      </c>
      <c r="BD184" s="2" t="s">
        <v>4291</v>
      </c>
      <c r="BE184" s="2"/>
      <c r="BF184" s="2" t="s">
        <v>4292</v>
      </c>
      <c r="BG184" s="2" t="str">
        <f>HYPERLINK("https://patentscout.innography.com/share/tJvtQJ4LlS9_DXrGW2Wfbg%3D%3D/download", "Download PDF")</f>
        <v>Download PDF</v>
      </c>
      <c r="BH184" s="2" t="s">
        <v>4293</v>
      </c>
      <c r="BI184" s="2"/>
      <c r="BJ184" s="2" t="s">
        <v>4288</v>
      </c>
      <c r="BK184" s="2" t="s">
        <v>4288</v>
      </c>
      <c r="BL184" s="2" t="s">
        <v>4288</v>
      </c>
      <c r="BM184" s="2"/>
      <c r="BN184" s="2"/>
      <c r="BO184" s="2"/>
      <c r="BP184" s="2"/>
      <c r="BQ184" s="2"/>
      <c r="BR184" s="2"/>
      <c r="BS184" s="2"/>
      <c r="BT184" s="2"/>
      <c r="BU184" s="2"/>
      <c r="BV184" s="2" t="s">
        <v>4294</v>
      </c>
      <c r="BW184" s="2"/>
      <c r="BX184" s="2"/>
      <c r="BY184" s="2"/>
      <c r="BZ184" s="2"/>
      <c r="CA184" s="2"/>
      <c r="CB184" s="2"/>
      <c r="CC184" s="2" t="s">
        <v>1120</v>
      </c>
      <c r="CD184" s="2" t="str">
        <f>HYPERLINK("https://patentscout.innography.com/share/tJvtQJ4LlS9_DXrGW2Wfbg%3D%3D", "Innography Link")</f>
        <v>Innography Link</v>
      </c>
      <c r="CE184" s="2"/>
      <c r="CF184" s="2"/>
      <c r="CG184" s="2"/>
      <c r="CH184" s="2"/>
      <c r="CI184" s="2"/>
      <c r="CK184" s="2" t="s">
        <v>4295</v>
      </c>
      <c r="CL184" s="2" t="s">
        <v>4296</v>
      </c>
    </row>
    <row r="185" spans="1:93" ht="152" customHeight="1" x14ac:dyDescent="0.45">
      <c r="A185" s="2">
        <v>0</v>
      </c>
      <c r="B185" s="2">
        <v>7</v>
      </c>
      <c r="C185" s="2" t="s">
        <v>4297</v>
      </c>
      <c r="D185" s="2"/>
      <c r="E185" s="2" t="s">
        <v>4221</v>
      </c>
      <c r="F185" s="2" t="s">
        <v>4246</v>
      </c>
      <c r="G185" s="2" t="s">
        <v>4221</v>
      </c>
      <c r="H185" s="2" t="s">
        <v>4219</v>
      </c>
      <c r="I185" s="2" t="s">
        <v>4247</v>
      </c>
      <c r="J185" s="2" t="s">
        <v>4246</v>
      </c>
      <c r="K185" s="2" t="s">
        <v>4221</v>
      </c>
      <c r="L185" s="2" t="s">
        <v>4221</v>
      </c>
      <c r="M185" s="2" t="s">
        <v>4249</v>
      </c>
      <c r="N185" s="2" t="s">
        <v>4250</v>
      </c>
      <c r="O185" s="2" t="s">
        <v>4251</v>
      </c>
      <c r="P185" s="2" t="s">
        <v>173</v>
      </c>
      <c r="Q185" s="2" t="s">
        <v>173</v>
      </c>
      <c r="R185" s="2" t="s">
        <v>173</v>
      </c>
      <c r="S185" s="2" t="s">
        <v>173</v>
      </c>
      <c r="T185" s="2">
        <v>79</v>
      </c>
      <c r="U185" s="2">
        <v>7</v>
      </c>
      <c r="V185" s="2" t="s">
        <v>4253</v>
      </c>
      <c r="W185" s="2" t="s">
        <v>4254</v>
      </c>
      <c r="X185" s="2">
        <v>3711</v>
      </c>
      <c r="Y185" s="2" t="s">
        <v>4255</v>
      </c>
      <c r="Z185" s="2" t="s">
        <v>4298</v>
      </c>
      <c r="AA185" s="2" t="s">
        <v>4299</v>
      </c>
      <c r="AB185" s="2">
        <v>15</v>
      </c>
      <c r="AC185" s="2" t="s">
        <v>139</v>
      </c>
      <c r="AD185" s="2" t="s">
        <v>4227</v>
      </c>
      <c r="AE185" s="2">
        <v>81</v>
      </c>
      <c r="AF185" s="2" t="s">
        <v>180</v>
      </c>
      <c r="AG185" s="2"/>
      <c r="AH185" s="2"/>
      <c r="AI185" s="2" t="s">
        <v>4300</v>
      </c>
      <c r="AJ185" s="2"/>
      <c r="AK185" s="2" t="s">
        <v>142</v>
      </c>
      <c r="AL185" s="2" t="s">
        <v>4229</v>
      </c>
      <c r="AM185" s="2" t="s">
        <v>4230</v>
      </c>
      <c r="AN185" s="2" t="s">
        <v>4259</v>
      </c>
      <c r="AO185" s="2" t="s">
        <v>4301</v>
      </c>
      <c r="AP185" s="2">
        <v>472012000</v>
      </c>
      <c r="AQ185" s="2">
        <v>472012000</v>
      </c>
      <c r="AR185" s="2" t="s">
        <v>253</v>
      </c>
      <c r="AS185" s="2">
        <v>54366952</v>
      </c>
      <c r="AT185" s="2" t="s">
        <v>4232</v>
      </c>
      <c r="AU185" s="2"/>
      <c r="AV185" s="2"/>
      <c r="AW185" s="2" t="s">
        <v>303</v>
      </c>
      <c r="AX185" s="2">
        <v>47260729</v>
      </c>
      <c r="AY185" s="2" t="s">
        <v>4234</v>
      </c>
      <c r="AZ185" s="2" t="s">
        <v>4262</v>
      </c>
      <c r="BA185" s="2" t="s">
        <v>4302</v>
      </c>
      <c r="BB185" s="2">
        <v>0</v>
      </c>
      <c r="BC185" s="3" t="str">
        <f>HYPERLINK("https://patentscout.innography.com/share/LE4FqsQSGgPryScQrrxaew%3D%3D","US20150321107")</f>
        <v>US20150321107</v>
      </c>
      <c r="BD185" s="2" t="s">
        <v>4303</v>
      </c>
      <c r="BE185" s="2" t="s">
        <v>4264</v>
      </c>
      <c r="BF185" s="2" t="s">
        <v>4304</v>
      </c>
      <c r="BG185" s="2" t="str">
        <f>HYPERLINK("https://patentscout.innography.com/share/LE4FqsQSGgPryScQrrxaew%3D%3D/download", "Download PDF")</f>
        <v>Download PDF</v>
      </c>
      <c r="BH185" s="2" t="s">
        <v>4305</v>
      </c>
      <c r="BI185" s="2"/>
      <c r="BJ185" s="2" t="s">
        <v>4258</v>
      </c>
      <c r="BK185" s="2" t="s">
        <v>4228</v>
      </c>
      <c r="BL185" s="2" t="s">
        <v>4228</v>
      </c>
      <c r="BM185" s="2"/>
      <c r="BN185" s="2"/>
      <c r="BO185" s="2" t="s">
        <v>4267</v>
      </c>
      <c r="BP185" s="2"/>
      <c r="BQ185" s="2"/>
      <c r="BR185" s="2" t="s">
        <v>4268</v>
      </c>
      <c r="BS185" s="2"/>
      <c r="BT185" s="2" t="s">
        <v>168</v>
      </c>
      <c r="BU185" s="2" t="s">
        <v>4269</v>
      </c>
      <c r="BV185" s="2"/>
      <c r="BW185" s="2" t="s">
        <v>318</v>
      </c>
      <c r="BX185" s="2"/>
      <c r="BY185" s="2"/>
      <c r="BZ185" s="2"/>
      <c r="CA185" s="2"/>
      <c r="CB185" s="2"/>
      <c r="CC185" s="2" t="s">
        <v>158</v>
      </c>
      <c r="CD185" s="2" t="str">
        <f>HYPERLINK("https://patentscout.innography.com/share/LE4FqsQSGgPryScQrrxaew%3D%3D", "Innography Link")</f>
        <v>Innography Link</v>
      </c>
      <c r="CE185" s="2"/>
      <c r="CF185" s="2"/>
      <c r="CG185" s="2"/>
      <c r="CH185" s="2"/>
      <c r="CI185" s="2"/>
      <c r="CK185" s="2" t="s">
        <v>4306</v>
      </c>
      <c r="CL185" s="2" t="s">
        <v>4307</v>
      </c>
      <c r="CM185" s="2" t="s">
        <v>4308</v>
      </c>
      <c r="CN185" s="2" t="s">
        <v>4309</v>
      </c>
    </row>
    <row r="186" spans="1:93" ht="152" customHeight="1" x14ac:dyDescent="0.45">
      <c r="A186" s="2">
        <v>16</v>
      </c>
      <c r="B186" s="2">
        <v>14</v>
      </c>
      <c r="C186" s="2" t="s">
        <v>4310</v>
      </c>
      <c r="D186" s="2" t="s">
        <v>4311</v>
      </c>
      <c r="E186" s="2" t="s">
        <v>4312</v>
      </c>
      <c r="F186" s="2"/>
      <c r="G186" s="2" t="s">
        <v>4312</v>
      </c>
      <c r="H186" s="2" t="s">
        <v>4313</v>
      </c>
      <c r="I186" s="2" t="s">
        <v>4314</v>
      </c>
      <c r="J186" s="2" t="s">
        <v>4315</v>
      </c>
      <c r="K186" s="2" t="s">
        <v>4312</v>
      </c>
      <c r="L186" s="2" t="s">
        <v>4316</v>
      </c>
      <c r="M186" s="2" t="s">
        <v>4317</v>
      </c>
      <c r="N186" s="2" t="s">
        <v>4318</v>
      </c>
      <c r="O186" s="2" t="s">
        <v>4319</v>
      </c>
      <c r="P186" s="2" t="s">
        <v>4320</v>
      </c>
      <c r="Q186" s="2" t="s">
        <v>4321</v>
      </c>
      <c r="R186" s="2" t="s">
        <v>4321</v>
      </c>
      <c r="S186" s="2" t="s">
        <v>4322</v>
      </c>
      <c r="T186" s="2">
        <v>79</v>
      </c>
      <c r="U186" s="2">
        <v>80</v>
      </c>
      <c r="V186" s="2" t="s">
        <v>4323</v>
      </c>
      <c r="W186" s="2" t="s">
        <v>4324</v>
      </c>
      <c r="X186" s="2">
        <v>3718</v>
      </c>
      <c r="Y186" s="2"/>
      <c r="Z186" s="2" t="s">
        <v>4325</v>
      </c>
      <c r="AA186" s="2" t="s">
        <v>4326</v>
      </c>
      <c r="AB186" s="2">
        <v>19</v>
      </c>
      <c r="AC186" s="2" t="s">
        <v>139</v>
      </c>
      <c r="AD186" s="2" t="s">
        <v>4327</v>
      </c>
      <c r="AE186" s="2">
        <v>87</v>
      </c>
      <c r="AF186" s="2" t="s">
        <v>141</v>
      </c>
      <c r="AG186" s="2"/>
      <c r="AH186" s="2"/>
      <c r="AI186" s="2"/>
      <c r="AJ186" s="2"/>
      <c r="AK186" s="2" t="s">
        <v>142</v>
      </c>
      <c r="AL186" s="2" t="s">
        <v>391</v>
      </c>
      <c r="AM186" s="2" t="s">
        <v>4328</v>
      </c>
      <c r="AN186" s="2" t="s">
        <v>300</v>
      </c>
      <c r="AO186" s="2" t="s">
        <v>300</v>
      </c>
      <c r="AP186" s="2">
        <v>463042000</v>
      </c>
      <c r="AQ186" s="2">
        <v>463042000</v>
      </c>
      <c r="AR186" s="2" t="s">
        <v>3645</v>
      </c>
      <c r="AS186" s="2">
        <v>39707154</v>
      </c>
      <c r="AT186" s="2" t="s">
        <v>4329</v>
      </c>
      <c r="AU186" s="2"/>
      <c r="AV186" s="2"/>
      <c r="AW186" s="2" t="s">
        <v>148</v>
      </c>
      <c r="AX186" s="2">
        <v>4262312</v>
      </c>
      <c r="AY186" s="2" t="s">
        <v>4330</v>
      </c>
      <c r="AZ186" s="2" t="s">
        <v>4331</v>
      </c>
      <c r="BA186" s="2" t="s">
        <v>4332</v>
      </c>
      <c r="BB186" s="2">
        <v>0</v>
      </c>
      <c r="BC186" s="3" t="str">
        <f>HYPERLINK("https://patentscout.innography.com/share/YgJ4CcqI-azkY9z82RBNag%3D%3D","US20080200253")</f>
        <v>US20080200253</v>
      </c>
      <c r="BD186" s="2" t="s">
        <v>4333</v>
      </c>
      <c r="BE186" s="2" t="s">
        <v>4334</v>
      </c>
      <c r="BF186" s="2" t="s">
        <v>4335</v>
      </c>
      <c r="BG186" s="2" t="str">
        <f>HYPERLINK("https://patentscout.innography.com/share/YgJ4CcqI-azkY9z82RBNag%3D%3D/download", "Download PDF")</f>
        <v>Download PDF</v>
      </c>
      <c r="BH186" s="2" t="s">
        <v>4336</v>
      </c>
      <c r="BI186" s="2"/>
      <c r="BJ186" s="2" t="s">
        <v>4337</v>
      </c>
      <c r="BK186" s="2" t="s">
        <v>4337</v>
      </c>
      <c r="BL186" s="2" t="s">
        <v>4338</v>
      </c>
      <c r="BM186" s="2" t="s">
        <v>313</v>
      </c>
      <c r="BN186" s="2" t="s">
        <v>4339</v>
      </c>
      <c r="BO186" s="2" t="s">
        <v>4340</v>
      </c>
      <c r="BP186" s="2" t="s">
        <v>4341</v>
      </c>
      <c r="BQ186" s="2" t="s">
        <v>4342</v>
      </c>
      <c r="BR186" s="2" t="s">
        <v>4343</v>
      </c>
      <c r="BS186" s="2"/>
      <c r="BT186" s="2" t="s">
        <v>4344</v>
      </c>
      <c r="BU186" s="2"/>
      <c r="BV186" s="2"/>
      <c r="BW186" s="2" t="s">
        <v>318</v>
      </c>
      <c r="BX186" s="2"/>
      <c r="BY186" s="2"/>
      <c r="BZ186" s="2"/>
      <c r="CA186" s="2"/>
      <c r="CB186" s="2"/>
      <c r="CC186" s="2" t="s">
        <v>158</v>
      </c>
      <c r="CD186" s="2" t="str">
        <f>HYPERLINK("https://patentscout.innography.com/share/YgJ4CcqI-azkY9z82RBNag%3D%3D", "Innography Link")</f>
        <v>Innography Link</v>
      </c>
      <c r="CE186" s="2"/>
      <c r="CF186" s="2"/>
      <c r="CG186" s="2"/>
      <c r="CH186" s="2"/>
      <c r="CI186" s="2"/>
      <c r="CK186" s="2" t="s">
        <v>4345</v>
      </c>
    </row>
    <row r="187" spans="1:93" ht="152" customHeight="1" x14ac:dyDescent="0.45">
      <c r="A187" s="2">
        <v>11</v>
      </c>
      <c r="B187" s="2">
        <v>5</v>
      </c>
      <c r="C187" s="2" t="s">
        <v>4346</v>
      </c>
      <c r="D187" s="2" t="s">
        <v>4347</v>
      </c>
      <c r="E187" s="2" t="s">
        <v>4153</v>
      </c>
      <c r="F187" s="2"/>
      <c r="G187" s="2" t="s">
        <v>4153</v>
      </c>
      <c r="H187" s="2" t="s">
        <v>4154</v>
      </c>
      <c r="I187" s="2" t="s">
        <v>4154</v>
      </c>
      <c r="J187" s="2" t="s">
        <v>4348</v>
      </c>
      <c r="K187" s="2" t="s">
        <v>4153</v>
      </c>
      <c r="L187" s="2" t="s">
        <v>4153</v>
      </c>
      <c r="M187" s="2" t="s">
        <v>4349</v>
      </c>
      <c r="N187" s="2" t="s">
        <v>4350</v>
      </c>
      <c r="O187" s="2"/>
      <c r="P187" s="2" t="s">
        <v>381</v>
      </c>
      <c r="Q187" s="2" t="s">
        <v>382</v>
      </c>
      <c r="R187" s="2" t="s">
        <v>382</v>
      </c>
      <c r="S187" s="2" t="s">
        <v>4158</v>
      </c>
      <c r="T187" s="2">
        <v>79</v>
      </c>
      <c r="U187" s="2">
        <v>49</v>
      </c>
      <c r="V187" s="2" t="s">
        <v>4351</v>
      </c>
      <c r="W187" s="2" t="s">
        <v>4352</v>
      </c>
      <c r="X187" s="2">
        <v>2171</v>
      </c>
      <c r="Y187" s="2" t="s">
        <v>1141</v>
      </c>
      <c r="Z187" s="2" t="s">
        <v>4353</v>
      </c>
      <c r="AA187" s="2" t="s">
        <v>4354</v>
      </c>
      <c r="AB187" s="2">
        <v>20</v>
      </c>
      <c r="AC187" s="2" t="s">
        <v>139</v>
      </c>
      <c r="AD187" s="2" t="s">
        <v>4164</v>
      </c>
      <c r="AE187" s="2">
        <v>91</v>
      </c>
      <c r="AF187" s="2" t="s">
        <v>180</v>
      </c>
      <c r="AG187" s="2"/>
      <c r="AH187" s="2"/>
      <c r="AI187" s="2"/>
      <c r="AJ187" s="2"/>
      <c r="AK187" s="2" t="s">
        <v>142</v>
      </c>
      <c r="AL187" s="2" t="s">
        <v>1611</v>
      </c>
      <c r="AM187" s="2" t="s">
        <v>4355</v>
      </c>
      <c r="AN187" s="2" t="s">
        <v>251</v>
      </c>
      <c r="AO187" s="2" t="s">
        <v>4356</v>
      </c>
      <c r="AP187" s="2">
        <v>715728000</v>
      </c>
      <c r="AQ187" s="2" t="s">
        <v>4357</v>
      </c>
      <c r="AR187" s="2" t="s">
        <v>275</v>
      </c>
      <c r="AS187" s="2">
        <v>41401430</v>
      </c>
      <c r="AT187" s="2" t="s">
        <v>4358</v>
      </c>
      <c r="AU187" s="2"/>
      <c r="AV187" s="2"/>
      <c r="AW187" s="2" t="s">
        <v>148</v>
      </c>
      <c r="AX187" s="2">
        <v>33274981</v>
      </c>
      <c r="AY187" s="2" t="s">
        <v>4359</v>
      </c>
      <c r="AZ187" s="2" t="s">
        <v>4360</v>
      </c>
      <c r="BA187" s="2" t="s">
        <v>306</v>
      </c>
      <c r="BB187" s="2">
        <v>0</v>
      </c>
      <c r="BC187" s="3" t="str">
        <f>HYPERLINK("https://patentscout.innography.com/share/0H-zkpL8dXC7CRf7ZkbgWg%3D%3D","US20090307595")</f>
        <v>US20090307595</v>
      </c>
      <c r="BD187" s="2" t="s">
        <v>4361</v>
      </c>
      <c r="BE187" s="2" t="s">
        <v>4362</v>
      </c>
      <c r="BF187" s="2" t="s">
        <v>4363</v>
      </c>
      <c r="BG187" s="2" t="str">
        <f>HYPERLINK("https://patentscout.innography.com/share/0H-zkpL8dXC7CRf7ZkbgWg%3D%3D/download", "Download PDF")</f>
        <v>Download PDF</v>
      </c>
      <c r="BH187" s="2" t="s">
        <v>4364</v>
      </c>
      <c r="BI187" s="2"/>
      <c r="BJ187" s="2" t="s">
        <v>4359</v>
      </c>
      <c r="BK187" s="2" t="s">
        <v>4359</v>
      </c>
      <c r="BL187" s="2" t="s">
        <v>4359</v>
      </c>
      <c r="BM187" s="2" t="s">
        <v>313</v>
      </c>
      <c r="BN187" s="2"/>
      <c r="BO187" s="2" t="s">
        <v>4365</v>
      </c>
      <c r="BP187" s="2"/>
      <c r="BQ187" s="2"/>
      <c r="BR187" s="2" t="s">
        <v>4366</v>
      </c>
      <c r="BS187" s="2" t="s">
        <v>4367</v>
      </c>
      <c r="BT187" s="2" t="s">
        <v>4368</v>
      </c>
      <c r="BU187" s="2" t="s">
        <v>4179</v>
      </c>
      <c r="BV187" s="2"/>
      <c r="BW187" s="2" t="s">
        <v>204</v>
      </c>
      <c r="BX187" s="2"/>
      <c r="BY187" s="2"/>
      <c r="BZ187" s="2"/>
      <c r="CA187" s="2"/>
      <c r="CB187" s="2"/>
      <c r="CC187" s="2" t="s">
        <v>158</v>
      </c>
      <c r="CD187" s="2" t="str">
        <f>HYPERLINK("https://patentscout.innography.com/share/0H-zkpL8dXC7CRf7ZkbgWg%3D%3D", "Innography Link")</f>
        <v>Innography Link</v>
      </c>
      <c r="CE187" s="2"/>
      <c r="CF187" s="2"/>
      <c r="CG187" s="2"/>
      <c r="CH187" s="2"/>
      <c r="CI187" s="2"/>
      <c r="CK187" s="2" t="s">
        <v>4369</v>
      </c>
      <c r="CL187" s="2" t="s">
        <v>4370</v>
      </c>
      <c r="CM187" s="2" t="s">
        <v>4371</v>
      </c>
    </row>
    <row r="188" spans="1:93" ht="152" customHeight="1" x14ac:dyDescent="0.45">
      <c r="A188" s="2">
        <v>0</v>
      </c>
      <c r="B188" s="2">
        <v>2</v>
      </c>
      <c r="C188" s="2" t="s">
        <v>4372</v>
      </c>
      <c r="D188" s="2"/>
      <c r="E188" s="2"/>
      <c r="F188" s="2" t="s">
        <v>580</v>
      </c>
      <c r="G188" s="2" t="s">
        <v>580</v>
      </c>
      <c r="H188" s="2" t="s">
        <v>4373</v>
      </c>
      <c r="I188" s="2" t="s">
        <v>4373</v>
      </c>
      <c r="J188" s="2" t="s">
        <v>4374</v>
      </c>
      <c r="K188" s="2" t="s">
        <v>580</v>
      </c>
      <c r="L188" s="2" t="s">
        <v>580</v>
      </c>
      <c r="M188" s="2" t="s">
        <v>4375</v>
      </c>
      <c r="N188" s="2" t="s">
        <v>4376</v>
      </c>
      <c r="O188" s="2"/>
      <c r="P188" s="2"/>
      <c r="Q188" s="2"/>
      <c r="R188" s="2"/>
      <c r="S188" s="2"/>
      <c r="T188" s="2">
        <v>79</v>
      </c>
      <c r="U188" s="2">
        <v>8</v>
      </c>
      <c r="V188" s="2" t="s">
        <v>4377</v>
      </c>
      <c r="W188" s="2"/>
      <c r="X188" s="2"/>
      <c r="Y188" s="2"/>
      <c r="Z188" s="2" t="s">
        <v>4378</v>
      </c>
      <c r="AA188" s="2" t="s">
        <v>4379</v>
      </c>
      <c r="AB188" s="2">
        <v>15</v>
      </c>
      <c r="AC188" s="2" t="s">
        <v>235</v>
      </c>
      <c r="AD188" s="2"/>
      <c r="AE188" s="2">
        <v>171</v>
      </c>
      <c r="AF188" s="2" t="s">
        <v>141</v>
      </c>
      <c r="AG188" s="2"/>
      <c r="AH188" s="2"/>
      <c r="AI188" s="2"/>
      <c r="AJ188" s="2"/>
      <c r="AK188" s="2" t="s">
        <v>217</v>
      </c>
      <c r="AL188" s="2" t="s">
        <v>4380</v>
      </c>
      <c r="AM188" s="2" t="s">
        <v>4380</v>
      </c>
      <c r="AN188" s="2" t="s">
        <v>4381</v>
      </c>
      <c r="AO188" s="2" t="s">
        <v>4382</v>
      </c>
      <c r="AP188" s="2">
        <v>119448000</v>
      </c>
      <c r="AQ188" s="2">
        <v>119448000</v>
      </c>
      <c r="AR188" s="2" t="s">
        <v>253</v>
      </c>
      <c r="AS188" s="2">
        <v>84407636</v>
      </c>
      <c r="AT188" s="2" t="s">
        <v>4383</v>
      </c>
      <c r="AU188" s="2"/>
      <c r="AV188" s="2"/>
      <c r="AW188" s="2" t="s">
        <v>4384</v>
      </c>
      <c r="AX188" s="2">
        <v>92917532</v>
      </c>
      <c r="AY188" s="2" t="s">
        <v>4385</v>
      </c>
      <c r="AZ188" s="2" t="s">
        <v>4386</v>
      </c>
      <c r="BA188" s="2" t="s">
        <v>4387</v>
      </c>
      <c r="BB188" s="2">
        <v>0</v>
      </c>
      <c r="BC188" s="3" t="str">
        <f>HYPERLINK("https://patentscout.innography.com/share/cOO8_H0gbmh_5oirz8zwnQ%3D%3D","KR102474975")</f>
        <v>KR102474975</v>
      </c>
      <c r="BD188" s="2" t="s">
        <v>4388</v>
      </c>
      <c r="BE188" s="2" t="s">
        <v>4389</v>
      </c>
      <c r="BF188" s="2" t="s">
        <v>4390</v>
      </c>
      <c r="BG188" s="2" t="str">
        <f>HYPERLINK("https://patentscout.innography.com/share/cOO8_H0gbmh_5oirz8zwnQ%3D%3D/download", "Download PDF")</f>
        <v>Download PDF</v>
      </c>
      <c r="BH188" s="2" t="s">
        <v>4391</v>
      </c>
      <c r="BI188" s="2"/>
      <c r="BJ188" s="2" t="s">
        <v>4392</v>
      </c>
      <c r="BK188" s="2" t="s">
        <v>4392</v>
      </c>
      <c r="BL188" s="2" t="s">
        <v>4392</v>
      </c>
      <c r="BM188" s="2"/>
      <c r="BN188" s="2"/>
      <c r="BO188" s="2"/>
      <c r="BP188" s="2"/>
      <c r="BQ188" s="2"/>
      <c r="BR188" s="2"/>
      <c r="BS188" s="2"/>
      <c r="BT188" s="2"/>
      <c r="BU188" s="2"/>
      <c r="BV188" s="2"/>
      <c r="BW188" s="2"/>
      <c r="BX188" s="2"/>
      <c r="BY188" s="2"/>
      <c r="BZ188" s="2"/>
      <c r="CA188" s="2"/>
      <c r="CB188" s="2"/>
      <c r="CC188" s="2" t="s">
        <v>243</v>
      </c>
      <c r="CD188" s="2" t="str">
        <f>HYPERLINK("https://patentscout.innography.com/share/cOO8_H0gbmh_5oirz8zwnQ%3D%3D", "Innography Link")</f>
        <v>Innography Link</v>
      </c>
      <c r="CE188" s="2"/>
      <c r="CF188" s="2"/>
      <c r="CG188" s="2"/>
      <c r="CH188" s="2"/>
      <c r="CI188" s="2"/>
      <c r="CK188" s="2" t="s">
        <v>4393</v>
      </c>
      <c r="CL188" s="2" t="s">
        <v>4394</v>
      </c>
      <c r="CM188" s="2" t="s">
        <v>4395</v>
      </c>
    </row>
    <row r="189" spans="1:93" ht="152" customHeight="1" x14ac:dyDescent="0.45">
      <c r="A189" s="2">
        <v>19</v>
      </c>
      <c r="B189" s="2">
        <v>17</v>
      </c>
      <c r="C189" s="2" t="s">
        <v>4396</v>
      </c>
      <c r="D189" s="2" t="s">
        <v>4397</v>
      </c>
      <c r="E189" s="2" t="s">
        <v>4398</v>
      </c>
      <c r="F189" s="2"/>
      <c r="G189" s="2" t="s">
        <v>4398</v>
      </c>
      <c r="H189" s="2" t="s">
        <v>4399</v>
      </c>
      <c r="I189" s="2" t="s">
        <v>4399</v>
      </c>
      <c r="J189" s="2" t="s">
        <v>4400</v>
      </c>
      <c r="K189" s="2" t="s">
        <v>4398</v>
      </c>
      <c r="L189" s="2" t="s">
        <v>4398</v>
      </c>
      <c r="M189" s="2" t="s">
        <v>4401</v>
      </c>
      <c r="N189" s="2" t="s">
        <v>4402</v>
      </c>
      <c r="O189" s="2"/>
      <c r="P189" s="2" t="s">
        <v>381</v>
      </c>
      <c r="Q189" s="2" t="s">
        <v>382</v>
      </c>
      <c r="R189" s="2" t="s">
        <v>382</v>
      </c>
      <c r="S189" s="2" t="s">
        <v>381</v>
      </c>
      <c r="T189" s="2">
        <v>79</v>
      </c>
      <c r="U189" s="2">
        <v>69</v>
      </c>
      <c r="V189" s="2" t="s">
        <v>4403</v>
      </c>
      <c r="W189" s="2" t="s">
        <v>4404</v>
      </c>
      <c r="X189" s="2">
        <v>2175</v>
      </c>
      <c r="Y189" s="2" t="s">
        <v>4405</v>
      </c>
      <c r="Z189" s="2" t="s">
        <v>4406</v>
      </c>
      <c r="AA189" s="2" t="s">
        <v>4407</v>
      </c>
      <c r="AB189" s="2">
        <v>20</v>
      </c>
      <c r="AC189" s="2" t="s">
        <v>139</v>
      </c>
      <c r="AD189" s="2" t="s">
        <v>4408</v>
      </c>
      <c r="AE189" s="2">
        <v>97</v>
      </c>
      <c r="AF189" s="2" t="s">
        <v>180</v>
      </c>
      <c r="AG189" s="2"/>
      <c r="AH189" s="2"/>
      <c r="AI189" s="2"/>
      <c r="AJ189" s="2"/>
      <c r="AK189" s="2" t="s">
        <v>142</v>
      </c>
      <c r="AL189" s="2" t="s">
        <v>4409</v>
      </c>
      <c r="AM189" s="2" t="s">
        <v>4410</v>
      </c>
      <c r="AN189" s="2" t="s">
        <v>251</v>
      </c>
      <c r="AO189" s="2" t="s">
        <v>4411</v>
      </c>
      <c r="AP189" s="2">
        <v>715745000</v>
      </c>
      <c r="AQ189" s="2" t="s">
        <v>4412</v>
      </c>
      <c r="AR189" s="2" t="s">
        <v>514</v>
      </c>
      <c r="AS189" s="2">
        <v>43528153</v>
      </c>
      <c r="AT189" s="2" t="s">
        <v>4413</v>
      </c>
      <c r="AU189" s="2"/>
      <c r="AV189" s="2"/>
      <c r="AW189" s="2" t="s">
        <v>303</v>
      </c>
      <c r="AX189" s="2">
        <v>35166673</v>
      </c>
      <c r="AY189" s="2" t="s">
        <v>4414</v>
      </c>
      <c r="AZ189" s="2" t="s">
        <v>4415</v>
      </c>
      <c r="BA189" s="2" t="s">
        <v>306</v>
      </c>
      <c r="BB189" s="2">
        <v>0</v>
      </c>
      <c r="BC189" s="3" t="str">
        <f>HYPERLINK("https://patentscout.innography.com/share/wTKrmvKFHg_HF9yoI41RFg%3D%3D","US20110029889")</f>
        <v>US20110029889</v>
      </c>
      <c r="BD189" s="2" t="s">
        <v>4416</v>
      </c>
      <c r="BE189" s="2" t="s">
        <v>4417</v>
      </c>
      <c r="BF189" s="2" t="s">
        <v>4418</v>
      </c>
      <c r="BG189" s="2" t="str">
        <f>HYPERLINK("https://patentscout.innography.com/share/wTKrmvKFHg_HF9yoI41RFg%3D%3D/download", "Download PDF")</f>
        <v>Download PDF</v>
      </c>
      <c r="BH189" s="2" t="s">
        <v>4419</v>
      </c>
      <c r="BI189" s="2"/>
      <c r="BJ189" s="2" t="s">
        <v>4414</v>
      </c>
      <c r="BK189" s="2" t="s">
        <v>4414</v>
      </c>
      <c r="BL189" s="2" t="s">
        <v>4414</v>
      </c>
      <c r="BM189" s="2" t="s">
        <v>313</v>
      </c>
      <c r="BN189" s="2" t="s">
        <v>4420</v>
      </c>
      <c r="BO189" s="2" t="s">
        <v>4421</v>
      </c>
      <c r="BP189" s="2"/>
      <c r="BQ189" s="2" t="s">
        <v>4422</v>
      </c>
      <c r="BR189" s="2" t="s">
        <v>4423</v>
      </c>
      <c r="BS189" s="2" t="s">
        <v>4424</v>
      </c>
      <c r="BT189" s="2" t="s">
        <v>4425</v>
      </c>
      <c r="BU189" s="2" t="s">
        <v>4179</v>
      </c>
      <c r="BV189" s="2"/>
      <c r="BW189" s="2" t="s">
        <v>204</v>
      </c>
      <c r="BX189" s="2"/>
      <c r="BY189" s="2"/>
      <c r="BZ189" s="2"/>
      <c r="CA189" s="2"/>
      <c r="CB189" s="2"/>
      <c r="CC189" s="2" t="s">
        <v>158</v>
      </c>
      <c r="CD189" s="2" t="str">
        <f>HYPERLINK("https://patentscout.innography.com/share/wTKrmvKFHg_HF9yoI41RFg%3D%3D", "Innography Link")</f>
        <v>Innography Link</v>
      </c>
      <c r="CE189" s="2"/>
      <c r="CF189" s="2"/>
      <c r="CG189" s="2"/>
      <c r="CH189" s="2"/>
      <c r="CI189" s="2"/>
      <c r="CK189" s="2" t="s">
        <v>4426</v>
      </c>
      <c r="CL189" s="2" t="s">
        <v>4427</v>
      </c>
      <c r="CM189" s="2" t="s">
        <v>4428</v>
      </c>
    </row>
    <row r="190" spans="1:93" ht="152" customHeight="1" x14ac:dyDescent="0.45">
      <c r="A190" s="2">
        <v>170</v>
      </c>
      <c r="B190" s="2">
        <v>5</v>
      </c>
      <c r="C190" s="2" t="s">
        <v>4429</v>
      </c>
      <c r="D190" s="2" t="s">
        <v>4430</v>
      </c>
      <c r="E190" s="2" t="s">
        <v>4431</v>
      </c>
      <c r="F190" s="2" t="s">
        <v>4432</v>
      </c>
      <c r="G190" s="2" t="s">
        <v>4431</v>
      </c>
      <c r="H190" s="2" t="s">
        <v>4433</v>
      </c>
      <c r="I190" s="2" t="s">
        <v>4434</v>
      </c>
      <c r="J190" s="2" t="s">
        <v>4432</v>
      </c>
      <c r="K190" s="2" t="s">
        <v>4431</v>
      </c>
      <c r="L190" s="2" t="s">
        <v>4316</v>
      </c>
      <c r="M190" s="2" t="s">
        <v>4435</v>
      </c>
      <c r="N190" s="2" t="s">
        <v>4436</v>
      </c>
      <c r="O190" s="2"/>
      <c r="P190" s="2" t="s">
        <v>4320</v>
      </c>
      <c r="Q190" s="2" t="s">
        <v>4321</v>
      </c>
      <c r="R190" s="2" t="s">
        <v>4321</v>
      </c>
      <c r="S190" s="2" t="s">
        <v>4322</v>
      </c>
      <c r="T190" s="2">
        <v>79</v>
      </c>
      <c r="U190" s="2">
        <v>54</v>
      </c>
      <c r="V190" s="2" t="s">
        <v>4437</v>
      </c>
      <c r="W190" s="2" t="s">
        <v>4438</v>
      </c>
      <c r="X190" s="2">
        <v>3715</v>
      </c>
      <c r="Y190" s="2" t="s">
        <v>3955</v>
      </c>
      <c r="Z190" s="2" t="s">
        <v>4439</v>
      </c>
      <c r="AA190" s="2" t="s">
        <v>4440</v>
      </c>
      <c r="AB190" s="2">
        <v>20</v>
      </c>
      <c r="AC190" s="2" t="s">
        <v>139</v>
      </c>
      <c r="AD190" s="2" t="s">
        <v>4327</v>
      </c>
      <c r="AE190" s="2">
        <v>72</v>
      </c>
      <c r="AF190" s="2" t="s">
        <v>180</v>
      </c>
      <c r="AG190" s="2"/>
      <c r="AH190" s="2"/>
      <c r="AI190" s="2" t="s">
        <v>4441</v>
      </c>
      <c r="AJ190" s="2"/>
      <c r="AK190" s="2" t="s">
        <v>142</v>
      </c>
      <c r="AL190" s="2" t="s">
        <v>3617</v>
      </c>
      <c r="AM190" s="2" t="s">
        <v>4442</v>
      </c>
      <c r="AN190" s="2" t="s">
        <v>300</v>
      </c>
      <c r="AO190" s="2" t="s">
        <v>300</v>
      </c>
      <c r="AP190" s="2">
        <v>463030000</v>
      </c>
      <c r="AQ190" s="2">
        <v>463030000</v>
      </c>
      <c r="AR190" s="2" t="s">
        <v>185</v>
      </c>
      <c r="AS190" s="2">
        <v>38518617</v>
      </c>
      <c r="AT190" s="2" t="s">
        <v>4443</v>
      </c>
      <c r="AU190" s="2"/>
      <c r="AV190" s="2"/>
      <c r="AW190" s="2" t="s">
        <v>303</v>
      </c>
      <c r="AX190" s="2">
        <v>4262312</v>
      </c>
      <c r="AY190" s="2" t="s">
        <v>4330</v>
      </c>
      <c r="AZ190" s="2" t="s">
        <v>4444</v>
      </c>
      <c r="BA190" s="2" t="s">
        <v>4445</v>
      </c>
      <c r="BB190" s="2">
        <v>0</v>
      </c>
      <c r="BC190" s="3" t="str">
        <f>HYPERLINK("https://patentscout.innography.com/share/I39pbtII_T1anPhYDhk0mg%3D%3D","US20070218987")</f>
        <v>US20070218987</v>
      </c>
      <c r="BD190" s="2" t="s">
        <v>4446</v>
      </c>
      <c r="BE190" s="2" t="s">
        <v>4447</v>
      </c>
      <c r="BF190" s="2" t="s">
        <v>4448</v>
      </c>
      <c r="BG190" s="2" t="str">
        <f>HYPERLINK("https://patentscout.innography.com/share/I39pbtII_T1anPhYDhk0mg%3D%3D/download", "Download PDF")</f>
        <v>Download PDF</v>
      </c>
      <c r="BH190" s="2" t="s">
        <v>4449</v>
      </c>
      <c r="BI190" s="2"/>
      <c r="BJ190" s="2" t="s">
        <v>4450</v>
      </c>
      <c r="BK190" s="2" t="s">
        <v>4450</v>
      </c>
      <c r="BL190" s="2" t="s">
        <v>4338</v>
      </c>
      <c r="BM190" s="2" t="s">
        <v>313</v>
      </c>
      <c r="BN190" s="2"/>
      <c r="BO190" s="2" t="s">
        <v>4451</v>
      </c>
      <c r="BP190" s="2"/>
      <c r="BQ190" s="2"/>
      <c r="BR190" s="2" t="s">
        <v>4452</v>
      </c>
      <c r="BS190" s="2" t="s">
        <v>4453</v>
      </c>
      <c r="BT190" s="2" t="s">
        <v>4454</v>
      </c>
      <c r="BU190" s="2"/>
      <c r="BV190" s="2"/>
      <c r="BW190" s="2" t="s">
        <v>204</v>
      </c>
      <c r="BX190" s="2"/>
      <c r="BY190" s="2"/>
      <c r="BZ190" s="2"/>
      <c r="CA190" s="2"/>
      <c r="CB190" s="2"/>
      <c r="CC190" s="2" t="s">
        <v>158</v>
      </c>
      <c r="CD190" s="2" t="str">
        <f>HYPERLINK("https://patentscout.innography.com/share/I39pbtII_T1anPhYDhk0mg%3D%3D", "Innography Link")</f>
        <v>Innography Link</v>
      </c>
      <c r="CE190" s="2"/>
      <c r="CF190" s="2"/>
      <c r="CG190" s="2"/>
      <c r="CH190" s="2"/>
      <c r="CI190" s="2"/>
      <c r="CK190" s="2" t="s">
        <v>4455</v>
      </c>
      <c r="CL190" s="2" t="s">
        <v>4456</v>
      </c>
    </row>
    <row r="191" spans="1:93" ht="152" customHeight="1" x14ac:dyDescent="0.45">
      <c r="A191" s="2">
        <v>0</v>
      </c>
      <c r="B191" s="2">
        <v>7</v>
      </c>
      <c r="C191" s="2" t="s">
        <v>4457</v>
      </c>
      <c r="D191" s="2"/>
      <c r="E191" s="2"/>
      <c r="F191" s="2" t="s">
        <v>425</v>
      </c>
      <c r="G191" s="2" t="s">
        <v>425</v>
      </c>
      <c r="H191" s="2" t="s">
        <v>4458</v>
      </c>
      <c r="I191" s="2" t="s">
        <v>4458</v>
      </c>
      <c r="J191" s="2" t="s">
        <v>4459</v>
      </c>
      <c r="K191" s="2" t="s">
        <v>425</v>
      </c>
      <c r="L191" s="2" t="s">
        <v>425</v>
      </c>
      <c r="M191" s="2" t="s">
        <v>4460</v>
      </c>
      <c r="N191" s="2" t="s">
        <v>4461</v>
      </c>
      <c r="O191" s="2"/>
      <c r="P191" s="2"/>
      <c r="Q191" s="2"/>
      <c r="R191" s="2"/>
      <c r="S191" s="2"/>
      <c r="T191" s="2">
        <v>79</v>
      </c>
      <c r="U191" s="2">
        <v>6</v>
      </c>
      <c r="V191" s="2" t="s">
        <v>4462</v>
      </c>
      <c r="W191" s="2"/>
      <c r="X191" s="2"/>
      <c r="Y191" s="2"/>
      <c r="Z191" s="2" t="s">
        <v>4463</v>
      </c>
      <c r="AA191" s="2" t="s">
        <v>4464</v>
      </c>
      <c r="AB191" s="2">
        <v>4</v>
      </c>
      <c r="AC191" s="2" t="s">
        <v>235</v>
      </c>
      <c r="AD191" s="2"/>
      <c r="AE191" s="2">
        <v>715</v>
      </c>
      <c r="AF191" s="2" t="s">
        <v>141</v>
      </c>
      <c r="AG191" s="2"/>
      <c r="AH191" s="2"/>
      <c r="AI191" s="2"/>
      <c r="AJ191" s="2"/>
      <c r="AK191" s="2" t="s">
        <v>217</v>
      </c>
      <c r="AL191" s="2" t="s">
        <v>298</v>
      </c>
      <c r="AM191" s="2" t="s">
        <v>298</v>
      </c>
      <c r="AN191" s="2" t="s">
        <v>359</v>
      </c>
      <c r="AO191" s="2" t="s">
        <v>4465</v>
      </c>
      <c r="AP191" s="2">
        <v>705348000</v>
      </c>
      <c r="AQ191" s="2">
        <v>705348000</v>
      </c>
      <c r="AR191" s="2" t="s">
        <v>253</v>
      </c>
      <c r="AS191" s="2">
        <v>84441199</v>
      </c>
      <c r="AT191" s="2" t="s">
        <v>4466</v>
      </c>
      <c r="AU191" s="2"/>
      <c r="AV191" s="2"/>
      <c r="AW191" s="2" t="s">
        <v>336</v>
      </c>
      <c r="AX191" s="2">
        <v>93049163</v>
      </c>
      <c r="AY191" s="2" t="s">
        <v>4467</v>
      </c>
      <c r="AZ191" s="2" t="s">
        <v>4468</v>
      </c>
      <c r="BA191" s="2" t="s">
        <v>4469</v>
      </c>
      <c r="BB191" s="2">
        <v>0</v>
      </c>
      <c r="BC191" s="3" t="str">
        <f>HYPERLINK("https://patentscout.innography.com/share/CHbPzCWhRz2vqgMmop8eHw%3D%3D","KR102474399")</f>
        <v>KR102474399</v>
      </c>
      <c r="BD191" s="2" t="s">
        <v>4470</v>
      </c>
      <c r="BE191" s="2" t="s">
        <v>4471</v>
      </c>
      <c r="BF191" s="2" t="s">
        <v>4472</v>
      </c>
      <c r="BG191" s="2" t="str">
        <f>HYPERLINK("https://patentscout.innography.com/share/CHbPzCWhRz2vqgMmop8eHw%3D%3D/download", "Download PDF")</f>
        <v>Download PDF</v>
      </c>
      <c r="BH191" s="2" t="s">
        <v>4473</v>
      </c>
      <c r="BI191" s="2"/>
      <c r="BJ191" s="2" t="s">
        <v>4474</v>
      </c>
      <c r="BK191" s="2" t="s">
        <v>4474</v>
      </c>
      <c r="BL191" s="2" t="s">
        <v>4474</v>
      </c>
      <c r="BM191" s="2"/>
      <c r="BN191" s="2"/>
      <c r="BO191" s="2"/>
      <c r="BP191" s="2"/>
      <c r="BQ191" s="2"/>
      <c r="BR191" s="2"/>
      <c r="BS191" s="2"/>
      <c r="BT191" s="2"/>
      <c r="BU191" s="2"/>
      <c r="BV191" s="2"/>
      <c r="BW191" s="2"/>
      <c r="BX191" s="2"/>
      <c r="BY191" s="2"/>
      <c r="BZ191" s="2"/>
      <c r="CA191" s="2"/>
      <c r="CB191" s="2"/>
      <c r="CC191" s="2" t="s">
        <v>243</v>
      </c>
      <c r="CD191" s="2" t="str">
        <f>HYPERLINK("https://patentscout.innography.com/share/CHbPzCWhRz2vqgMmop8eHw%3D%3D", "Innography Link")</f>
        <v>Innography Link</v>
      </c>
      <c r="CE191" s="2"/>
      <c r="CF191" s="2"/>
      <c r="CG191" s="2"/>
      <c r="CH191" s="2"/>
      <c r="CI191" s="2"/>
      <c r="CK191" s="2" t="s">
        <v>4475</v>
      </c>
      <c r="CL191" s="2" t="s">
        <v>780</v>
      </c>
      <c r="CM191" s="2" t="s">
        <v>444</v>
      </c>
      <c r="CN191" s="2" t="s">
        <v>371</v>
      </c>
    </row>
    <row r="192" spans="1:93" ht="152" customHeight="1" x14ac:dyDescent="0.45">
      <c r="A192" s="2">
        <v>5</v>
      </c>
      <c r="B192" s="2">
        <v>25</v>
      </c>
      <c r="C192" s="2" t="s">
        <v>4476</v>
      </c>
      <c r="D192" s="2" t="s">
        <v>4477</v>
      </c>
      <c r="E192" s="2" t="s">
        <v>4478</v>
      </c>
      <c r="F192" s="2"/>
      <c r="G192" s="2" t="s">
        <v>4478</v>
      </c>
      <c r="H192" s="2" t="s">
        <v>4479</v>
      </c>
      <c r="I192" s="2" t="s">
        <v>4480</v>
      </c>
      <c r="J192" s="2" t="s">
        <v>4481</v>
      </c>
      <c r="K192" s="2" t="s">
        <v>4478</v>
      </c>
      <c r="L192" s="2" t="s">
        <v>4478</v>
      </c>
      <c r="M192" s="2" t="s">
        <v>4482</v>
      </c>
      <c r="N192" s="2" t="s">
        <v>4483</v>
      </c>
      <c r="O192" s="2"/>
      <c r="P192" s="2" t="s">
        <v>4484</v>
      </c>
      <c r="Q192" s="2" t="s">
        <v>4485</v>
      </c>
      <c r="R192" s="2" t="s">
        <v>4486</v>
      </c>
      <c r="S192" s="2" t="s">
        <v>4484</v>
      </c>
      <c r="T192" s="2">
        <v>79</v>
      </c>
      <c r="U192" s="2">
        <v>33</v>
      </c>
      <c r="V192" s="2" t="s">
        <v>4487</v>
      </c>
      <c r="W192" s="2" t="s">
        <v>4488</v>
      </c>
      <c r="X192" s="2">
        <v>2155</v>
      </c>
      <c r="Y192" s="2" t="s">
        <v>4489</v>
      </c>
      <c r="Z192" s="2" t="s">
        <v>4490</v>
      </c>
      <c r="AA192" s="2" t="s">
        <v>4491</v>
      </c>
      <c r="AB192" s="2">
        <v>8</v>
      </c>
      <c r="AC192" s="2" t="s">
        <v>139</v>
      </c>
      <c r="AD192" s="2" t="s">
        <v>4492</v>
      </c>
      <c r="AE192" s="2">
        <v>136</v>
      </c>
      <c r="AF192" s="2" t="s">
        <v>180</v>
      </c>
      <c r="AG192" s="2"/>
      <c r="AH192" s="2"/>
      <c r="AI192" s="2"/>
      <c r="AJ192" s="2"/>
      <c r="AK192" s="2" t="s">
        <v>142</v>
      </c>
      <c r="AL192" s="2" t="s">
        <v>620</v>
      </c>
      <c r="AM192" s="2" t="s">
        <v>620</v>
      </c>
      <c r="AN192" s="2" t="s">
        <v>4493</v>
      </c>
      <c r="AO192" s="2" t="s">
        <v>4493</v>
      </c>
      <c r="AP192" s="2">
        <v>707769000</v>
      </c>
      <c r="AQ192" s="2" t="s">
        <v>4494</v>
      </c>
      <c r="AR192" s="2" t="s">
        <v>415</v>
      </c>
      <c r="AS192" s="2">
        <v>44648057</v>
      </c>
      <c r="AT192" s="2" t="s">
        <v>4495</v>
      </c>
      <c r="AU192" s="2"/>
      <c r="AV192" s="2"/>
      <c r="AW192" s="2" t="s">
        <v>148</v>
      </c>
      <c r="AX192" s="2">
        <v>36949077</v>
      </c>
      <c r="AY192" s="2" t="s">
        <v>4496</v>
      </c>
      <c r="AZ192" s="2" t="s">
        <v>4497</v>
      </c>
      <c r="BA192" s="2" t="s">
        <v>306</v>
      </c>
      <c r="BB192" s="2">
        <v>0</v>
      </c>
      <c r="BC192" s="3" t="str">
        <f>HYPERLINK("https://patentscout.innography.com/share/tu-OGO-Wr1bwWNBFQlKYWg%3D%3D","US20110231433")</f>
        <v>US20110231433</v>
      </c>
      <c r="BD192" s="2" t="s">
        <v>4498</v>
      </c>
      <c r="BE192" s="2" t="s">
        <v>4499</v>
      </c>
      <c r="BF192" s="2" t="s">
        <v>4500</v>
      </c>
      <c r="BG192" s="2" t="str">
        <f>HYPERLINK("https://patentscout.innography.com/share/tu-OGO-Wr1bwWNBFQlKYWg%3D%3D/download", "Download PDF")</f>
        <v>Download PDF</v>
      </c>
      <c r="BH192" s="2" t="s">
        <v>4501</v>
      </c>
      <c r="BI192" s="2"/>
      <c r="BJ192" s="2" t="s">
        <v>4502</v>
      </c>
      <c r="BK192" s="2" t="s">
        <v>1938</v>
      </c>
      <c r="BL192" s="2" t="s">
        <v>1938</v>
      </c>
      <c r="BM192" s="2"/>
      <c r="BN192" s="2"/>
      <c r="BO192" s="2" t="s">
        <v>4503</v>
      </c>
      <c r="BP192" s="2" t="s">
        <v>4504</v>
      </c>
      <c r="BQ192" s="2"/>
      <c r="BR192" s="2" t="s">
        <v>4505</v>
      </c>
      <c r="BS192" s="2" t="s">
        <v>4506</v>
      </c>
      <c r="BT192" s="2" t="s">
        <v>4507</v>
      </c>
      <c r="BU192" s="2" t="s">
        <v>4508</v>
      </c>
      <c r="BV192" s="2"/>
      <c r="BW192" s="2" t="s">
        <v>204</v>
      </c>
      <c r="BX192" s="2"/>
      <c r="BY192" s="2"/>
      <c r="BZ192" s="2"/>
      <c r="CA192" s="2"/>
      <c r="CB192" s="2"/>
      <c r="CC192" s="2" t="s">
        <v>158</v>
      </c>
      <c r="CD192" s="2" t="str">
        <f>HYPERLINK("https://patentscout.innography.com/share/tu-OGO-Wr1bwWNBFQlKYWg%3D%3D", "Innography Link")</f>
        <v>Innography Link</v>
      </c>
      <c r="CE192" s="2"/>
      <c r="CF192" s="2"/>
      <c r="CG192" s="2"/>
      <c r="CH192" s="2"/>
      <c r="CI192" s="2"/>
      <c r="CK192" s="2" t="s">
        <v>4509</v>
      </c>
      <c r="CL192" s="2" t="s">
        <v>4510</v>
      </c>
      <c r="CM192" s="2" t="s">
        <v>4511</v>
      </c>
    </row>
    <row r="193" spans="1:125" ht="152" customHeight="1" x14ac:dyDescent="0.45">
      <c r="A193" s="2">
        <v>0</v>
      </c>
      <c r="B193" s="2">
        <v>3</v>
      </c>
      <c r="C193" s="2" t="s">
        <v>4512</v>
      </c>
      <c r="D193" s="2"/>
      <c r="E193" s="2" t="s">
        <v>4513</v>
      </c>
      <c r="F193" s="2" t="s">
        <v>4514</v>
      </c>
      <c r="G193" s="2" t="s">
        <v>4513</v>
      </c>
      <c r="H193" s="2" t="s">
        <v>4479</v>
      </c>
      <c r="I193" s="2" t="s">
        <v>4515</v>
      </c>
      <c r="J193" s="2" t="s">
        <v>4514</v>
      </c>
      <c r="K193" s="2" t="s">
        <v>4478</v>
      </c>
      <c r="L193" s="2" t="s">
        <v>4478</v>
      </c>
      <c r="M193" s="2" t="s">
        <v>4516</v>
      </c>
      <c r="N193" s="2" t="s">
        <v>4483</v>
      </c>
      <c r="O193" s="2"/>
      <c r="P193" s="2" t="s">
        <v>4517</v>
      </c>
      <c r="Q193" s="2" t="s">
        <v>4485</v>
      </c>
      <c r="R193" s="2" t="s">
        <v>4485</v>
      </c>
      <c r="S193" s="2" t="s">
        <v>4517</v>
      </c>
      <c r="T193" s="2">
        <v>79</v>
      </c>
      <c r="U193" s="2">
        <v>4</v>
      </c>
      <c r="V193" s="2" t="s">
        <v>4518</v>
      </c>
      <c r="W193" s="2"/>
      <c r="X193" s="2"/>
      <c r="Y193" s="2"/>
      <c r="Z193" s="2" t="s">
        <v>4519</v>
      </c>
      <c r="AA193" s="2" t="s">
        <v>4519</v>
      </c>
      <c r="AB193" s="2">
        <v>8</v>
      </c>
      <c r="AC193" s="2" t="s">
        <v>214</v>
      </c>
      <c r="AD193" s="2" t="s">
        <v>4492</v>
      </c>
      <c r="AE193" s="2">
        <v>134</v>
      </c>
      <c r="AF193" s="2" t="s">
        <v>180</v>
      </c>
      <c r="AG193" s="2"/>
      <c r="AH193" s="2"/>
      <c r="AI193" s="2" t="s">
        <v>4520</v>
      </c>
      <c r="AJ193" s="2"/>
      <c r="AK193" s="2" t="s">
        <v>1108</v>
      </c>
      <c r="AL193" s="2" t="s">
        <v>620</v>
      </c>
      <c r="AM193" s="2" t="s">
        <v>620</v>
      </c>
      <c r="AN193" s="2" t="s">
        <v>4521</v>
      </c>
      <c r="AO193" s="2" t="s">
        <v>4522</v>
      </c>
      <c r="AP193" s="2">
        <v>358302000</v>
      </c>
      <c r="AQ193" s="2">
        <v>358302000</v>
      </c>
      <c r="AR193" s="2" t="s">
        <v>253</v>
      </c>
      <c r="AS193" s="2">
        <v>44648057</v>
      </c>
      <c r="AT193" s="2" t="s">
        <v>4495</v>
      </c>
      <c r="AU193" s="2"/>
      <c r="AV193" s="2"/>
      <c r="AW193" s="2" t="s">
        <v>1111</v>
      </c>
      <c r="AX193" s="2">
        <v>36949077</v>
      </c>
      <c r="AY193" s="2" t="s">
        <v>4496</v>
      </c>
      <c r="AZ193" s="2" t="s">
        <v>4523</v>
      </c>
      <c r="BA193" s="2" t="s">
        <v>4524</v>
      </c>
      <c r="BB193" s="2">
        <v>0</v>
      </c>
      <c r="BC193" s="3" t="str">
        <f>HYPERLINK("https://patentscout.innography.com/share/KAFlRLQ9cZMn5Yz6WScZSw%3D%3D","JP2011217352")</f>
        <v>JP2011217352</v>
      </c>
      <c r="BD193" s="2" t="s">
        <v>4525</v>
      </c>
      <c r="BE193" s="2" t="s">
        <v>4526</v>
      </c>
      <c r="BF193" s="2" t="s">
        <v>4527</v>
      </c>
      <c r="BG193" s="2" t="str">
        <f>HYPERLINK("https://patentscout.innography.com/share/KAFlRLQ9cZMn5Yz6WScZSw%3D%3D/download", "Download PDF")</f>
        <v>Download PDF</v>
      </c>
      <c r="BH193" s="2" t="s">
        <v>4528</v>
      </c>
      <c r="BI193" s="2"/>
      <c r="BJ193" s="2" t="s">
        <v>1938</v>
      </c>
      <c r="BK193" s="2" t="s">
        <v>1938</v>
      </c>
      <c r="BL193" s="2" t="s">
        <v>1938</v>
      </c>
      <c r="BM193" s="2"/>
      <c r="BN193" s="2"/>
      <c r="BO193" s="2"/>
      <c r="BP193" s="2"/>
      <c r="BQ193" s="2"/>
      <c r="BR193" s="2"/>
      <c r="BS193" s="2"/>
      <c r="BT193" s="2"/>
      <c r="BU193" s="2" t="s">
        <v>4529</v>
      </c>
      <c r="BV193" s="2" t="s">
        <v>4530</v>
      </c>
      <c r="BW193" s="2"/>
      <c r="BX193" s="2"/>
      <c r="BY193" s="2"/>
      <c r="BZ193" s="2"/>
      <c r="CA193" s="2"/>
      <c r="CB193" s="2"/>
      <c r="CC193" s="2" t="s">
        <v>1120</v>
      </c>
      <c r="CD193" s="2" t="str">
        <f>HYPERLINK("https://patentscout.innography.com/share/KAFlRLQ9cZMn5Yz6WScZSw%3D%3D", "Innography Link")</f>
        <v>Innography Link</v>
      </c>
      <c r="CE193" s="2"/>
      <c r="CF193" s="2"/>
      <c r="CG193" s="2"/>
      <c r="CH193" s="2"/>
      <c r="CI193" s="2"/>
      <c r="CK193" s="2" t="s">
        <v>4531</v>
      </c>
      <c r="CL193" s="2" t="s">
        <v>4532</v>
      </c>
      <c r="CM193" s="2" t="s">
        <v>4533</v>
      </c>
    </row>
    <row r="194" spans="1:125" ht="152" customHeight="1" x14ac:dyDescent="0.45">
      <c r="A194" s="2">
        <v>0</v>
      </c>
      <c r="B194" s="2">
        <v>0</v>
      </c>
      <c r="C194" s="2"/>
      <c r="D194" s="2"/>
      <c r="E194" s="2" t="s">
        <v>4513</v>
      </c>
      <c r="F194" s="2" t="s">
        <v>4514</v>
      </c>
      <c r="G194" s="2" t="s">
        <v>4514</v>
      </c>
      <c r="H194" s="2" t="s">
        <v>4479</v>
      </c>
      <c r="I194" s="2" t="s">
        <v>4515</v>
      </c>
      <c r="J194" s="2" t="s">
        <v>4534</v>
      </c>
      <c r="K194" s="2" t="s">
        <v>4478</v>
      </c>
      <c r="L194" s="2" t="s">
        <v>4478</v>
      </c>
      <c r="M194" s="2" t="s">
        <v>4535</v>
      </c>
      <c r="N194" s="2" t="s">
        <v>4483</v>
      </c>
      <c r="O194" s="2"/>
      <c r="P194" s="2" t="s">
        <v>4517</v>
      </c>
      <c r="Q194" s="2" t="s">
        <v>4485</v>
      </c>
      <c r="R194" s="2" t="s">
        <v>4485</v>
      </c>
      <c r="S194" s="2" t="s">
        <v>4517</v>
      </c>
      <c r="T194" s="2">
        <v>79</v>
      </c>
      <c r="U194" s="2">
        <v>24</v>
      </c>
      <c r="V194" s="2" t="s">
        <v>4518</v>
      </c>
      <c r="W194" s="2"/>
      <c r="X194" s="2"/>
      <c r="Y194" s="2"/>
      <c r="Z194" s="2" t="s">
        <v>4536</v>
      </c>
      <c r="AA194" s="2" t="s">
        <v>4536</v>
      </c>
      <c r="AB194" s="2">
        <v>8</v>
      </c>
      <c r="AC194" s="2" t="s">
        <v>250</v>
      </c>
      <c r="AD194" s="2" t="s">
        <v>4492</v>
      </c>
      <c r="AE194" s="2">
        <v>136</v>
      </c>
      <c r="AF194" s="2" t="s">
        <v>141</v>
      </c>
      <c r="AG194" s="2"/>
      <c r="AH194" s="2"/>
      <c r="AI194" s="2" t="s">
        <v>1938</v>
      </c>
      <c r="AJ194" s="2"/>
      <c r="AK194" s="2" t="s">
        <v>1108</v>
      </c>
      <c r="AL194" s="2" t="s">
        <v>620</v>
      </c>
      <c r="AM194" s="2" t="s">
        <v>620</v>
      </c>
      <c r="AN194" s="2" t="s">
        <v>4521</v>
      </c>
      <c r="AO194" s="2" t="s">
        <v>4537</v>
      </c>
      <c r="AP194" s="2">
        <v>358302000</v>
      </c>
      <c r="AQ194" s="2">
        <v>358302000</v>
      </c>
      <c r="AR194" s="2" t="s">
        <v>146</v>
      </c>
      <c r="AS194" s="2">
        <v>44648057</v>
      </c>
      <c r="AT194" s="2" t="s">
        <v>4495</v>
      </c>
      <c r="AU194" s="2"/>
      <c r="AV194" s="2"/>
      <c r="AW194" s="2" t="s">
        <v>4538</v>
      </c>
      <c r="AX194" s="2">
        <v>36949077</v>
      </c>
      <c r="AY194" s="2" t="s">
        <v>4496</v>
      </c>
      <c r="AZ194" s="2" t="s">
        <v>4523</v>
      </c>
      <c r="BA194" s="2" t="s">
        <v>4539</v>
      </c>
      <c r="BB194" s="2">
        <v>0</v>
      </c>
      <c r="BC194" s="3" t="str">
        <f>HYPERLINK("https://patentscout.innography.com/share/0XyobuhmNflf42gRn4MmeQ%3D%3D","JP5703748")</f>
        <v>JP5703748</v>
      </c>
      <c r="BD194" s="2" t="s">
        <v>4540</v>
      </c>
      <c r="BE194" s="2" t="s">
        <v>4526</v>
      </c>
      <c r="BF194" s="2" t="s">
        <v>4541</v>
      </c>
      <c r="BG194" s="2" t="str">
        <f>HYPERLINK("https://patentscout.innography.com/share/0XyobuhmNflf42gRn4MmeQ%3D%3D/download", "Download PDF")</f>
        <v>Download PDF</v>
      </c>
      <c r="BH194" s="2" t="s">
        <v>4542</v>
      </c>
      <c r="BI194" s="2"/>
      <c r="BJ194" s="2" t="s">
        <v>1938</v>
      </c>
      <c r="BK194" s="2" t="s">
        <v>1938</v>
      </c>
      <c r="BL194" s="2" t="s">
        <v>1938</v>
      </c>
      <c r="BM194" s="2"/>
      <c r="BN194" s="2"/>
      <c r="BO194" s="2"/>
      <c r="BP194" s="2"/>
      <c r="BQ194" s="2"/>
      <c r="BR194" s="2"/>
      <c r="BS194" s="2"/>
      <c r="BT194" s="2"/>
      <c r="BU194" s="2" t="s">
        <v>4529</v>
      </c>
      <c r="BV194" s="2" t="s">
        <v>4530</v>
      </c>
      <c r="BW194" s="2"/>
      <c r="BX194" s="2"/>
      <c r="BY194" s="2"/>
      <c r="BZ194" s="2"/>
      <c r="CA194" s="2"/>
      <c r="CB194" s="2"/>
      <c r="CC194" s="2" t="s">
        <v>1971</v>
      </c>
      <c r="CD194" s="2" t="str">
        <f>HYPERLINK("https://patentscout.innography.com/share/0XyobuhmNflf42gRn4MmeQ%3D%3D", "Innography Link")</f>
        <v>Innography Link</v>
      </c>
      <c r="CE194" s="2"/>
      <c r="CF194" s="2"/>
      <c r="CG194" s="2"/>
      <c r="CH194" s="2"/>
      <c r="CI194" s="2"/>
      <c r="CK194" s="2" t="s">
        <v>4543</v>
      </c>
      <c r="CL194" s="2" t="s">
        <v>4544</v>
      </c>
      <c r="CM194" s="2" t="s">
        <v>4545</v>
      </c>
    </row>
    <row r="195" spans="1:125" ht="30" customHeight="1" x14ac:dyDescent="0.45">
      <c r="A195" s="2">
        <v>22</v>
      </c>
      <c r="B195" s="2">
        <v>0</v>
      </c>
      <c r="C195" s="2"/>
      <c r="D195" s="2" t="s">
        <v>4546</v>
      </c>
      <c r="E195" s="2" t="s">
        <v>4547</v>
      </c>
      <c r="F195" s="2"/>
      <c r="G195" s="2" t="s">
        <v>4547</v>
      </c>
      <c r="H195" s="2" t="s">
        <v>4548</v>
      </c>
      <c r="I195" s="2" t="s">
        <v>4548</v>
      </c>
      <c r="J195" s="2" t="s">
        <v>4549</v>
      </c>
      <c r="K195" s="2" t="s">
        <v>4547</v>
      </c>
      <c r="L195" s="2" t="s">
        <v>4547</v>
      </c>
      <c r="M195" s="2" t="s">
        <v>4435</v>
      </c>
      <c r="N195" s="2" t="s">
        <v>4436</v>
      </c>
      <c r="O195" s="2"/>
      <c r="P195" s="2" t="s">
        <v>4320</v>
      </c>
      <c r="Q195" s="2" t="s">
        <v>4321</v>
      </c>
      <c r="R195" s="2" t="s">
        <v>4321</v>
      </c>
      <c r="S195" s="2" t="s">
        <v>4320</v>
      </c>
      <c r="T195" s="2">
        <v>78</v>
      </c>
      <c r="U195" s="2">
        <v>72</v>
      </c>
      <c r="V195" s="2" t="s">
        <v>4550</v>
      </c>
      <c r="W195" s="2"/>
      <c r="X195" s="2"/>
      <c r="Y195" s="2"/>
      <c r="Z195" s="2" t="s">
        <v>4551</v>
      </c>
      <c r="AA195" s="2" t="s">
        <v>4552</v>
      </c>
      <c r="AB195" s="2">
        <v>60</v>
      </c>
      <c r="AC195" s="2" t="s">
        <v>139</v>
      </c>
      <c r="AD195" s="2" t="s">
        <v>4553</v>
      </c>
      <c r="AE195" s="2">
        <v>72</v>
      </c>
      <c r="AF195" s="2" t="s">
        <v>180</v>
      </c>
      <c r="AG195" s="2" t="s">
        <v>4554</v>
      </c>
      <c r="AH195" s="2"/>
      <c r="AI195" s="2"/>
      <c r="AJ195" s="2"/>
      <c r="AK195" s="2" t="s">
        <v>619</v>
      </c>
      <c r="AL195" s="2" t="s">
        <v>691</v>
      </c>
      <c r="AM195" s="2" t="s">
        <v>4555</v>
      </c>
      <c r="AN195" s="2" t="s">
        <v>4556</v>
      </c>
      <c r="AO195" s="2" t="s">
        <v>4557</v>
      </c>
      <c r="AP195" s="2">
        <v>463000000</v>
      </c>
      <c r="AQ195" s="2" t="s">
        <v>4558</v>
      </c>
      <c r="AR195" s="2" t="s">
        <v>1406</v>
      </c>
      <c r="AS195" s="2">
        <v>39875771</v>
      </c>
      <c r="AT195" s="2" t="s">
        <v>4559</v>
      </c>
      <c r="AU195" s="2"/>
      <c r="AV195" s="2"/>
      <c r="AW195" s="2" t="s">
        <v>624</v>
      </c>
      <c r="AX195" s="2">
        <v>30068900</v>
      </c>
      <c r="AY195" s="2" t="s">
        <v>4560</v>
      </c>
      <c r="AZ195" s="2" t="s">
        <v>4561</v>
      </c>
      <c r="BA195" s="2" t="s">
        <v>4562</v>
      </c>
      <c r="BB195" s="2">
        <v>0</v>
      </c>
      <c r="BC195" s="3" t="str">
        <f>HYPERLINK("https://patentscout.innography.com/share/mcPfyfdpz0ZNLEYS7nZdAg%3D%3D","WO2008130398")</f>
        <v>WO2008130398</v>
      </c>
      <c r="BD195" s="2" t="s">
        <v>4563</v>
      </c>
      <c r="BE195" s="2" t="s">
        <v>4564</v>
      </c>
      <c r="BF195" s="2" t="s">
        <v>4565</v>
      </c>
      <c r="BG195" s="2" t="str">
        <f>HYPERLINK("https://patentscout.innography.com/share/mcPfyfdpz0ZNLEYS7nZdAg%3D%3D/download", "Download PDF")</f>
        <v>Download PDF</v>
      </c>
      <c r="BH195" s="2" t="s">
        <v>4566</v>
      </c>
      <c r="BI195" s="2"/>
      <c r="BJ195" s="2" t="s">
        <v>4560</v>
      </c>
      <c r="BK195" s="2" t="s">
        <v>4560</v>
      </c>
      <c r="BL195" s="2" t="s">
        <v>4560</v>
      </c>
      <c r="BM195" s="2"/>
      <c r="BN195" s="2"/>
      <c r="BO195" s="2"/>
      <c r="BP195" s="2"/>
      <c r="BQ195" s="2"/>
      <c r="BR195" s="2"/>
      <c r="BS195" s="2"/>
      <c r="BT195" s="2"/>
      <c r="BU195" s="2"/>
      <c r="BV195" s="2" t="s">
        <v>4567</v>
      </c>
      <c r="BW195" s="2"/>
      <c r="BX195" s="2"/>
      <c r="BY195" s="2"/>
      <c r="BZ195" s="2"/>
      <c r="CA195" s="2"/>
      <c r="CB195" s="2"/>
      <c r="CC195" s="2" t="s">
        <v>635</v>
      </c>
      <c r="CD195" s="2" t="str">
        <f>HYPERLINK("https://patentscout.innography.com/share/mcPfyfdpz0ZNLEYS7nZdAg%3D%3D", "Innography Link")</f>
        <v>Innography Link</v>
      </c>
      <c r="CE195" s="2"/>
      <c r="CF195" s="2"/>
      <c r="CG195" s="2"/>
      <c r="CH195" s="2"/>
      <c r="CI195" s="2"/>
      <c r="CK195" s="2" t="s">
        <v>4568</v>
      </c>
      <c r="CL195" s="2" t="s">
        <v>4569</v>
      </c>
      <c r="CM195" s="2" t="s">
        <v>4570</v>
      </c>
      <c r="CN195" s="2" t="s">
        <v>4571</v>
      </c>
      <c r="CO195" s="2" t="s">
        <v>4572</v>
      </c>
      <c r="CP195" s="2" t="s">
        <v>4573</v>
      </c>
      <c r="CQ195" s="2" t="s">
        <v>4574</v>
      </c>
    </row>
    <row r="196" spans="1:125" ht="152" customHeight="1" x14ac:dyDescent="0.45">
      <c r="A196" s="2">
        <v>3</v>
      </c>
      <c r="B196" s="2">
        <v>6</v>
      </c>
      <c r="C196" s="2"/>
      <c r="D196" s="2" t="s">
        <v>4575</v>
      </c>
      <c r="E196" s="2" t="s">
        <v>4576</v>
      </c>
      <c r="F196" s="2" t="s">
        <v>732</v>
      </c>
      <c r="G196" s="2" t="s">
        <v>732</v>
      </c>
      <c r="H196" s="2" t="s">
        <v>4577</v>
      </c>
      <c r="I196" s="2" t="s">
        <v>4578</v>
      </c>
      <c r="J196" s="2" t="s">
        <v>4579</v>
      </c>
      <c r="K196" s="2" t="s">
        <v>4580</v>
      </c>
      <c r="L196" s="2" t="s">
        <v>4580</v>
      </c>
      <c r="M196" s="2" t="s">
        <v>4581</v>
      </c>
      <c r="N196" s="2" t="s">
        <v>4582</v>
      </c>
      <c r="O196" s="2" t="s">
        <v>4583</v>
      </c>
      <c r="P196" s="2" t="s">
        <v>4194</v>
      </c>
      <c r="Q196" s="2" t="s">
        <v>4194</v>
      </c>
      <c r="R196" s="2" t="s">
        <v>4195</v>
      </c>
      <c r="S196" s="2" t="s">
        <v>4194</v>
      </c>
      <c r="T196" s="2">
        <v>78</v>
      </c>
      <c r="U196" s="2">
        <v>81</v>
      </c>
      <c r="V196" s="2" t="s">
        <v>4584</v>
      </c>
      <c r="W196" s="2"/>
      <c r="X196" s="2"/>
      <c r="Y196" s="2"/>
      <c r="Z196" s="2" t="s">
        <v>4585</v>
      </c>
      <c r="AA196" s="2" t="s">
        <v>4586</v>
      </c>
      <c r="AB196" s="2">
        <v>19</v>
      </c>
      <c r="AC196" s="2" t="s">
        <v>3878</v>
      </c>
      <c r="AD196" s="2" t="s">
        <v>4587</v>
      </c>
      <c r="AE196" s="2">
        <v>149</v>
      </c>
      <c r="AF196" s="2" t="s">
        <v>141</v>
      </c>
      <c r="AG196" s="2"/>
      <c r="AH196" s="2"/>
      <c r="AI196" s="2" t="s">
        <v>4588</v>
      </c>
      <c r="AJ196" s="2"/>
      <c r="AK196" s="2" t="s">
        <v>1816</v>
      </c>
      <c r="AL196" s="2" t="s">
        <v>271</v>
      </c>
      <c r="AM196" s="2" t="s">
        <v>4589</v>
      </c>
      <c r="AN196" s="2" t="s">
        <v>1035</v>
      </c>
      <c r="AO196" s="2" t="s">
        <v>4590</v>
      </c>
      <c r="AP196" s="2">
        <v>715701000</v>
      </c>
      <c r="AQ196" s="2">
        <v>715701000</v>
      </c>
      <c r="AR196" s="2" t="s">
        <v>3645</v>
      </c>
      <c r="AS196" s="2">
        <v>58464144</v>
      </c>
      <c r="AT196" s="2" t="s">
        <v>4591</v>
      </c>
      <c r="AU196" s="2"/>
      <c r="AV196" s="2"/>
      <c r="AW196" s="2" t="s">
        <v>3879</v>
      </c>
      <c r="AX196" s="2">
        <v>91374119</v>
      </c>
      <c r="AY196" s="2" t="s">
        <v>4592</v>
      </c>
      <c r="AZ196" s="2" t="s">
        <v>4593</v>
      </c>
      <c r="BA196" s="2" t="s">
        <v>4594</v>
      </c>
      <c r="BB196" s="2">
        <v>0</v>
      </c>
      <c r="BC196" s="3" t="str">
        <f>HYPERLINK("https://patentscout.innography.com/share/N-L8FGh3JW6NoojEetJqfA%3D%3D","CN107193364")</f>
        <v>CN107193364</v>
      </c>
      <c r="BD196" s="2" t="s">
        <v>4595</v>
      </c>
      <c r="BE196" s="2" t="s">
        <v>4596</v>
      </c>
      <c r="BF196" s="2" t="s">
        <v>4597</v>
      </c>
      <c r="BG196" s="2" t="str">
        <f>HYPERLINK("https://patentscout.innography.com/share/N-L8FGh3JW6NoojEetJqfA%3D%3D/download", "Download PDF")</f>
        <v>Download PDF</v>
      </c>
      <c r="BH196" s="2" t="s">
        <v>4598</v>
      </c>
      <c r="BI196" s="2"/>
      <c r="BJ196" s="2" t="s">
        <v>4588</v>
      </c>
      <c r="BK196" s="2" t="s">
        <v>4599</v>
      </c>
      <c r="BL196" s="2" t="s">
        <v>4599</v>
      </c>
      <c r="BM196" s="2"/>
      <c r="BN196" s="2"/>
      <c r="BO196" s="2"/>
      <c r="BP196" s="2"/>
      <c r="BQ196" s="2"/>
      <c r="BR196" s="2"/>
      <c r="BS196" s="2"/>
      <c r="BT196" s="2"/>
      <c r="BU196" s="2"/>
      <c r="BV196" s="2" t="s">
        <v>4600</v>
      </c>
      <c r="BW196" s="2"/>
      <c r="BX196" s="2"/>
      <c r="BY196" s="2"/>
      <c r="BZ196" s="2"/>
      <c r="CA196" s="2"/>
      <c r="CB196" s="2"/>
      <c r="CC196" s="2" t="s">
        <v>3884</v>
      </c>
      <c r="CD196" s="2" t="str">
        <f>HYPERLINK("https://patentscout.innography.com/share/N-L8FGh3JW6NoojEetJqfA%3D%3D", "Innography Link")</f>
        <v>Innography Link</v>
      </c>
      <c r="CE196" s="2"/>
      <c r="CF196" s="2"/>
      <c r="CG196" s="2"/>
      <c r="CH196" s="2"/>
      <c r="CI196" s="2"/>
      <c r="CK196" s="2" t="s">
        <v>4601</v>
      </c>
      <c r="CL196" s="2" t="s">
        <v>4602</v>
      </c>
      <c r="CM196" s="2" t="s">
        <v>4603</v>
      </c>
    </row>
    <row r="197" spans="1:125" ht="152" customHeight="1" x14ac:dyDescent="0.45">
      <c r="A197" s="2">
        <v>7</v>
      </c>
      <c r="B197" s="2">
        <v>11</v>
      </c>
      <c r="C197" s="2" t="s">
        <v>4604</v>
      </c>
      <c r="D197" s="2" t="s">
        <v>4605</v>
      </c>
      <c r="E197" s="2" t="s">
        <v>4478</v>
      </c>
      <c r="F197" s="2"/>
      <c r="G197" s="2" t="s">
        <v>4478</v>
      </c>
      <c r="H197" s="2" t="s">
        <v>4479</v>
      </c>
      <c r="I197" s="2" t="s">
        <v>4606</v>
      </c>
      <c r="J197" s="2" t="s">
        <v>4607</v>
      </c>
      <c r="K197" s="2" t="s">
        <v>4478</v>
      </c>
      <c r="L197" s="2" t="s">
        <v>4478</v>
      </c>
      <c r="M197" s="2" t="s">
        <v>4608</v>
      </c>
      <c r="N197" s="2" t="s">
        <v>4609</v>
      </c>
      <c r="O197" s="2"/>
      <c r="P197" s="2" t="s">
        <v>4484</v>
      </c>
      <c r="Q197" s="2" t="s">
        <v>4485</v>
      </c>
      <c r="R197" s="2" t="s">
        <v>4486</v>
      </c>
      <c r="S197" s="2" t="s">
        <v>4484</v>
      </c>
      <c r="T197" s="2">
        <v>78</v>
      </c>
      <c r="U197" s="2">
        <v>26</v>
      </c>
      <c r="V197" s="2" t="s">
        <v>4610</v>
      </c>
      <c r="W197" s="2" t="s">
        <v>4611</v>
      </c>
      <c r="X197" s="2">
        <v>2166</v>
      </c>
      <c r="Y197" s="2" t="s">
        <v>4612</v>
      </c>
      <c r="Z197" s="2" t="s">
        <v>4613</v>
      </c>
      <c r="AA197" s="2" t="s">
        <v>4614</v>
      </c>
      <c r="AB197" s="2">
        <v>7</v>
      </c>
      <c r="AC197" s="2" t="s">
        <v>139</v>
      </c>
      <c r="AD197" s="2" t="s">
        <v>4492</v>
      </c>
      <c r="AE197" s="2">
        <v>65</v>
      </c>
      <c r="AF197" s="2" t="s">
        <v>180</v>
      </c>
      <c r="AG197" s="2"/>
      <c r="AH197" s="2"/>
      <c r="AI197" s="2"/>
      <c r="AJ197" s="2"/>
      <c r="AK197" s="2" t="s">
        <v>142</v>
      </c>
      <c r="AL197" s="2" t="s">
        <v>620</v>
      </c>
      <c r="AM197" s="2" t="s">
        <v>620</v>
      </c>
      <c r="AN197" s="2" t="s">
        <v>4493</v>
      </c>
      <c r="AO197" s="2" t="s">
        <v>4615</v>
      </c>
      <c r="AP197" s="2">
        <v>707769000</v>
      </c>
      <c r="AQ197" s="2" t="s">
        <v>4616</v>
      </c>
      <c r="AR197" s="2" t="s">
        <v>146</v>
      </c>
      <c r="AS197" s="2">
        <v>44648058</v>
      </c>
      <c r="AT197" s="2" t="s">
        <v>4617</v>
      </c>
      <c r="AU197" s="2"/>
      <c r="AV197" s="2"/>
      <c r="AW197" s="2" t="s">
        <v>148</v>
      </c>
      <c r="AX197" s="2">
        <v>36949078</v>
      </c>
      <c r="AY197" s="2" t="s">
        <v>4618</v>
      </c>
      <c r="AZ197" s="2" t="s">
        <v>4619</v>
      </c>
      <c r="BA197" s="2" t="s">
        <v>306</v>
      </c>
      <c r="BB197" s="2">
        <v>0</v>
      </c>
      <c r="BC197" s="3" t="str">
        <f>HYPERLINK("https://patentscout.innography.com/share/8LYOL1wWPRPaXTVzjf3SfA%3D%3D","US20110231434")</f>
        <v>US20110231434</v>
      </c>
      <c r="BD197" s="2" t="s">
        <v>4620</v>
      </c>
      <c r="BE197" s="2" t="s">
        <v>4621</v>
      </c>
      <c r="BF197" s="2" t="s">
        <v>4622</v>
      </c>
      <c r="BG197" s="2" t="str">
        <f>HYPERLINK("https://patentscout.innography.com/share/8LYOL1wWPRPaXTVzjf3SfA%3D%3D/download", "Download PDF")</f>
        <v>Download PDF</v>
      </c>
      <c r="BH197" s="2" t="s">
        <v>4623</v>
      </c>
      <c r="BI197" s="2"/>
      <c r="BJ197" s="2" t="s">
        <v>4624</v>
      </c>
      <c r="BK197" s="2" t="s">
        <v>4625</v>
      </c>
      <c r="BL197" s="2" t="s">
        <v>4625</v>
      </c>
      <c r="BM197" s="2"/>
      <c r="BN197" s="2" t="s">
        <v>4626</v>
      </c>
      <c r="BO197" s="2" t="s">
        <v>4627</v>
      </c>
      <c r="BP197" s="2"/>
      <c r="BQ197" s="2" t="s">
        <v>4628</v>
      </c>
      <c r="BR197" s="2" t="s">
        <v>4629</v>
      </c>
      <c r="BS197" s="2" t="s">
        <v>4630</v>
      </c>
      <c r="BT197" s="2" t="s">
        <v>4631</v>
      </c>
      <c r="BU197" s="2" t="s">
        <v>4508</v>
      </c>
      <c r="BV197" s="2"/>
      <c r="BW197" s="2" t="s">
        <v>204</v>
      </c>
      <c r="BX197" s="2"/>
      <c r="BY197" s="2"/>
      <c r="BZ197" s="2"/>
      <c r="CA197" s="2"/>
      <c r="CB197" s="2"/>
      <c r="CC197" s="2" t="s">
        <v>158</v>
      </c>
      <c r="CD197" s="2" t="str">
        <f>HYPERLINK("https://patentscout.innography.com/share/8LYOL1wWPRPaXTVzjf3SfA%3D%3D", "Innography Link")</f>
        <v>Innography Link</v>
      </c>
      <c r="CE197" s="2"/>
      <c r="CF197" s="2"/>
      <c r="CG197" s="2"/>
      <c r="CH197" s="2"/>
      <c r="CI197" s="2"/>
      <c r="CK197" s="2" t="s">
        <v>4632</v>
      </c>
      <c r="CL197" s="2" t="s">
        <v>4633</v>
      </c>
    </row>
    <row r="198" spans="1:125" ht="152" customHeight="1" x14ac:dyDescent="0.45">
      <c r="A198" s="2">
        <v>5</v>
      </c>
      <c r="B198" s="2">
        <v>2</v>
      </c>
      <c r="C198" s="2" t="s">
        <v>4634</v>
      </c>
      <c r="D198" s="2" t="s">
        <v>4635</v>
      </c>
      <c r="E198" s="2" t="s">
        <v>4513</v>
      </c>
      <c r="F198" s="2" t="s">
        <v>4636</v>
      </c>
      <c r="G198" s="2" t="s">
        <v>4513</v>
      </c>
      <c r="H198" s="2" t="s">
        <v>4479</v>
      </c>
      <c r="I198" s="2" t="s">
        <v>4637</v>
      </c>
      <c r="J198" s="2" t="s">
        <v>4636</v>
      </c>
      <c r="K198" s="2" t="s">
        <v>4478</v>
      </c>
      <c r="L198" s="2" t="s">
        <v>4478</v>
      </c>
      <c r="M198" s="2" t="s">
        <v>4638</v>
      </c>
      <c r="N198" s="2" t="s">
        <v>4639</v>
      </c>
      <c r="O198" s="2"/>
      <c r="P198" s="2" t="s">
        <v>4517</v>
      </c>
      <c r="Q198" s="2" t="s">
        <v>4485</v>
      </c>
      <c r="R198" s="2" t="s">
        <v>4485</v>
      </c>
      <c r="S198" s="2" t="s">
        <v>4517</v>
      </c>
      <c r="T198" s="2">
        <v>78</v>
      </c>
      <c r="U198" s="2">
        <v>11</v>
      </c>
      <c r="V198" s="2" t="s">
        <v>4640</v>
      </c>
      <c r="W198" s="2"/>
      <c r="X198" s="2"/>
      <c r="Y198" s="2"/>
      <c r="Z198" s="2" t="s">
        <v>4641</v>
      </c>
      <c r="AA198" s="2" t="s">
        <v>4641</v>
      </c>
      <c r="AB198" s="2">
        <v>7</v>
      </c>
      <c r="AC198" s="2" t="s">
        <v>214</v>
      </c>
      <c r="AD198" s="2" t="s">
        <v>4492</v>
      </c>
      <c r="AE198" s="2">
        <v>63</v>
      </c>
      <c r="AF198" s="2" t="s">
        <v>180</v>
      </c>
      <c r="AG198" s="2"/>
      <c r="AH198" s="2"/>
      <c r="AI198" s="2" t="s">
        <v>4642</v>
      </c>
      <c r="AJ198" s="2"/>
      <c r="AK198" s="2" t="s">
        <v>1108</v>
      </c>
      <c r="AL198" s="2" t="s">
        <v>620</v>
      </c>
      <c r="AM198" s="2" t="s">
        <v>620</v>
      </c>
      <c r="AN198" s="2" t="s">
        <v>4643</v>
      </c>
      <c r="AO198" s="2" t="s">
        <v>4644</v>
      </c>
      <c r="AP198" s="2">
        <v>705002000</v>
      </c>
      <c r="AQ198" s="2">
        <v>705002000</v>
      </c>
      <c r="AR198" s="2" t="s">
        <v>541</v>
      </c>
      <c r="AS198" s="2">
        <v>44648058</v>
      </c>
      <c r="AT198" s="2" t="s">
        <v>4617</v>
      </c>
      <c r="AU198" s="2"/>
      <c r="AV198" s="2"/>
      <c r="AW198" s="2" t="s">
        <v>1111</v>
      </c>
      <c r="AX198" s="2">
        <v>36949078</v>
      </c>
      <c r="AY198" s="2" t="s">
        <v>4618</v>
      </c>
      <c r="AZ198" s="2" t="s">
        <v>4645</v>
      </c>
      <c r="BA198" s="2" t="s">
        <v>4646</v>
      </c>
      <c r="BB198" s="2">
        <v>0</v>
      </c>
      <c r="BC198" s="3" t="str">
        <f>HYPERLINK("https://patentscout.innography.com/share/45IqCsyaGQUx1ug9Wxr-Rw%3D%3D","JP2011216073")</f>
        <v>JP2011216073</v>
      </c>
      <c r="BD198" s="2" t="s">
        <v>4647</v>
      </c>
      <c r="BE198" s="2" t="s">
        <v>4648</v>
      </c>
      <c r="BF198" s="2" t="s">
        <v>4649</v>
      </c>
      <c r="BG198" s="2" t="str">
        <f>HYPERLINK("https://patentscout.innography.com/share/45IqCsyaGQUx1ug9Wxr-Rw%3D%3D/download", "Download PDF")</f>
        <v>Download PDF</v>
      </c>
      <c r="BH198" s="2" t="s">
        <v>4650</v>
      </c>
      <c r="BI198" s="2"/>
      <c r="BJ198" s="2" t="s">
        <v>4625</v>
      </c>
      <c r="BK198" s="2" t="s">
        <v>4625</v>
      </c>
      <c r="BL198" s="2" t="s">
        <v>4625</v>
      </c>
      <c r="BM198" s="2"/>
      <c r="BN198" s="2"/>
      <c r="BO198" s="2"/>
      <c r="BP198" s="2"/>
      <c r="BQ198" s="2"/>
      <c r="BR198" s="2"/>
      <c r="BS198" s="2"/>
      <c r="BT198" s="2"/>
      <c r="BU198" s="2"/>
      <c r="BV198" s="2" t="s">
        <v>4530</v>
      </c>
      <c r="BW198" s="2"/>
      <c r="BX198" s="2"/>
      <c r="BY198" s="2"/>
      <c r="BZ198" s="2"/>
      <c r="CA198" s="2"/>
      <c r="CB198" s="2"/>
      <c r="CC198" s="2" t="s">
        <v>1120</v>
      </c>
      <c r="CD198" s="2" t="str">
        <f>HYPERLINK("https://patentscout.innography.com/share/45IqCsyaGQUx1ug9Wxr-Rw%3D%3D", "Innography Link")</f>
        <v>Innography Link</v>
      </c>
      <c r="CE198" s="2"/>
      <c r="CF198" s="2"/>
      <c r="CG198" s="2"/>
      <c r="CH198" s="2"/>
      <c r="CI198" s="2"/>
      <c r="CK198" s="2" t="s">
        <v>4651</v>
      </c>
      <c r="CL198" s="2" t="s">
        <v>4652</v>
      </c>
    </row>
    <row r="199" spans="1:125" ht="152" customHeight="1" x14ac:dyDescent="0.45">
      <c r="A199" s="2">
        <v>0</v>
      </c>
      <c r="B199" s="2">
        <v>0</v>
      </c>
      <c r="C199" s="2"/>
      <c r="D199" s="2"/>
      <c r="E199" s="2" t="s">
        <v>4513</v>
      </c>
      <c r="F199" s="2" t="s">
        <v>4636</v>
      </c>
      <c r="G199" s="2" t="s">
        <v>4636</v>
      </c>
      <c r="H199" s="2" t="s">
        <v>4479</v>
      </c>
      <c r="I199" s="2" t="s">
        <v>4637</v>
      </c>
      <c r="J199" s="2" t="s">
        <v>4653</v>
      </c>
      <c r="K199" s="2" t="s">
        <v>4478</v>
      </c>
      <c r="L199" s="2" t="s">
        <v>4478</v>
      </c>
      <c r="M199" s="2" t="s">
        <v>4654</v>
      </c>
      <c r="N199" s="2" t="s">
        <v>4639</v>
      </c>
      <c r="O199" s="2"/>
      <c r="P199" s="2" t="s">
        <v>4517</v>
      </c>
      <c r="Q199" s="2" t="s">
        <v>4485</v>
      </c>
      <c r="R199" s="2" t="s">
        <v>4485</v>
      </c>
      <c r="S199" s="2" t="s">
        <v>4517</v>
      </c>
      <c r="T199" s="2">
        <v>78</v>
      </c>
      <c r="U199" s="2">
        <v>17</v>
      </c>
      <c r="V199" s="2" t="s">
        <v>4640</v>
      </c>
      <c r="W199" s="2"/>
      <c r="X199" s="2"/>
      <c r="Y199" s="2"/>
      <c r="Z199" s="2" t="s">
        <v>4655</v>
      </c>
      <c r="AA199" s="2" t="s">
        <v>4655</v>
      </c>
      <c r="AB199" s="2">
        <v>5</v>
      </c>
      <c r="AC199" s="2" t="s">
        <v>250</v>
      </c>
      <c r="AD199" s="2" t="s">
        <v>4492</v>
      </c>
      <c r="AE199" s="2">
        <v>109</v>
      </c>
      <c r="AF199" s="2" t="s">
        <v>141</v>
      </c>
      <c r="AG199" s="2"/>
      <c r="AH199" s="2"/>
      <c r="AI199" s="2" t="s">
        <v>4625</v>
      </c>
      <c r="AJ199" s="2"/>
      <c r="AK199" s="2" t="s">
        <v>1108</v>
      </c>
      <c r="AL199" s="2" t="s">
        <v>620</v>
      </c>
      <c r="AM199" s="2" t="s">
        <v>620</v>
      </c>
      <c r="AN199" s="2" t="s">
        <v>359</v>
      </c>
      <c r="AO199" s="2" t="s">
        <v>4656</v>
      </c>
      <c r="AP199" s="2">
        <v>705348000</v>
      </c>
      <c r="AQ199" s="2">
        <v>705348000</v>
      </c>
      <c r="AR199" s="2" t="s">
        <v>541</v>
      </c>
      <c r="AS199" s="2">
        <v>44648058</v>
      </c>
      <c r="AT199" s="2" t="s">
        <v>4617</v>
      </c>
      <c r="AU199" s="2"/>
      <c r="AV199" s="2"/>
      <c r="AW199" s="2" t="s">
        <v>4538</v>
      </c>
      <c r="AX199" s="2">
        <v>36949078</v>
      </c>
      <c r="AY199" s="2" t="s">
        <v>4618</v>
      </c>
      <c r="AZ199" s="2" t="s">
        <v>4645</v>
      </c>
      <c r="BA199" s="2" t="s">
        <v>4657</v>
      </c>
      <c r="BB199" s="2">
        <v>0</v>
      </c>
      <c r="BC199" s="3" t="str">
        <f>HYPERLINK("https://patentscout.innography.com/share/y8Poxv-F1p4Bf394yB-8dA%3D%3D","JP5625882")</f>
        <v>JP5625882</v>
      </c>
      <c r="BD199" s="2" t="s">
        <v>4658</v>
      </c>
      <c r="BE199" s="2" t="s">
        <v>4648</v>
      </c>
      <c r="BF199" s="2" t="s">
        <v>4659</v>
      </c>
      <c r="BG199" s="2" t="str">
        <f>HYPERLINK("https://patentscout.innography.com/share/y8Poxv-F1p4Bf394yB-8dA%3D%3D/download", "Download PDF")</f>
        <v>Download PDF</v>
      </c>
      <c r="BH199" s="2" t="s">
        <v>4660</v>
      </c>
      <c r="BI199" s="2"/>
      <c r="BJ199" s="2" t="s">
        <v>4625</v>
      </c>
      <c r="BK199" s="2" t="s">
        <v>4625</v>
      </c>
      <c r="BL199" s="2" t="s">
        <v>4625</v>
      </c>
      <c r="BM199" s="2"/>
      <c r="BN199" s="2"/>
      <c r="BO199" s="2"/>
      <c r="BP199" s="2"/>
      <c r="BQ199" s="2"/>
      <c r="BR199" s="2"/>
      <c r="BS199" s="2"/>
      <c r="BT199" s="2"/>
      <c r="BU199" s="2"/>
      <c r="BV199" s="2" t="s">
        <v>4530</v>
      </c>
      <c r="BW199" s="2"/>
      <c r="BX199" s="2"/>
      <c r="BY199" s="2"/>
      <c r="BZ199" s="2"/>
      <c r="CA199" s="2"/>
      <c r="CB199" s="2"/>
      <c r="CC199" s="2" t="s">
        <v>1971</v>
      </c>
      <c r="CD199" s="2" t="str">
        <f>HYPERLINK("https://patentscout.innography.com/share/y8Poxv-F1p4Bf394yB-8dA%3D%3D", "Innography Link")</f>
        <v>Innography Link</v>
      </c>
      <c r="CE199" s="2"/>
      <c r="CF199" s="2"/>
      <c r="CG199" s="2"/>
      <c r="CH199" s="2"/>
      <c r="CI199" s="2"/>
      <c r="CK199" s="2" t="s">
        <v>4661</v>
      </c>
      <c r="CL199" s="2" t="s">
        <v>4662</v>
      </c>
    </row>
    <row r="200" spans="1:125" ht="152" customHeight="1" x14ac:dyDescent="0.45">
      <c r="A200" s="2">
        <v>0</v>
      </c>
      <c r="B200" s="2">
        <v>0</v>
      </c>
      <c r="C200" s="2"/>
      <c r="D200" s="2"/>
      <c r="E200" s="2" t="s">
        <v>4663</v>
      </c>
      <c r="F200" s="2"/>
      <c r="G200" s="2" t="s">
        <v>4663</v>
      </c>
      <c r="H200" s="2" t="s">
        <v>4664</v>
      </c>
      <c r="I200" s="2" t="s">
        <v>4665</v>
      </c>
      <c r="J200" s="2" t="s">
        <v>4666</v>
      </c>
      <c r="K200" s="2" t="s">
        <v>3807</v>
      </c>
      <c r="L200" s="2" t="s">
        <v>3807</v>
      </c>
      <c r="M200" s="2" t="s">
        <v>4667</v>
      </c>
      <c r="N200" s="2" t="s">
        <v>4668</v>
      </c>
      <c r="O200" s="2" t="s">
        <v>4669</v>
      </c>
      <c r="P200" s="2" t="s">
        <v>3811</v>
      </c>
      <c r="Q200" s="2" t="s">
        <v>3812</v>
      </c>
      <c r="R200" s="2" t="s">
        <v>3813</v>
      </c>
      <c r="S200" s="2" t="s">
        <v>3811</v>
      </c>
      <c r="T200" s="2">
        <v>78</v>
      </c>
      <c r="U200" s="2">
        <v>29</v>
      </c>
      <c r="V200" s="2" t="s">
        <v>4670</v>
      </c>
      <c r="W200" s="2"/>
      <c r="X200" s="2"/>
      <c r="Y200" s="2"/>
      <c r="Z200" s="2" t="s">
        <v>4671</v>
      </c>
      <c r="AA200" s="2" t="s">
        <v>4672</v>
      </c>
      <c r="AB200" s="2">
        <v>25</v>
      </c>
      <c r="AC200" s="2" t="s">
        <v>214</v>
      </c>
      <c r="AD200" s="2" t="s">
        <v>4673</v>
      </c>
      <c r="AE200" s="2">
        <v>95</v>
      </c>
      <c r="AF200" s="2" t="s">
        <v>141</v>
      </c>
      <c r="AG200" s="2"/>
      <c r="AH200" s="2"/>
      <c r="AI200" s="2"/>
      <c r="AJ200" s="2"/>
      <c r="AK200" s="2" t="s">
        <v>1816</v>
      </c>
      <c r="AL200" s="2" t="s">
        <v>4674</v>
      </c>
      <c r="AM200" s="2" t="s">
        <v>4675</v>
      </c>
      <c r="AN200" s="2" t="s">
        <v>4676</v>
      </c>
      <c r="AO200" s="2" t="s">
        <v>4677</v>
      </c>
      <c r="AP200" s="2">
        <v>713340000</v>
      </c>
      <c r="AQ200" s="2">
        <v>713340000</v>
      </c>
      <c r="AR200" s="2" t="s">
        <v>146</v>
      </c>
      <c r="AS200" s="2">
        <v>64902840</v>
      </c>
      <c r="AT200" s="2" t="s">
        <v>4678</v>
      </c>
      <c r="AU200" s="2"/>
      <c r="AV200" s="2"/>
      <c r="AW200" s="2" t="s">
        <v>1821</v>
      </c>
      <c r="AX200" s="2">
        <v>68463060</v>
      </c>
      <c r="AY200" s="2" t="s">
        <v>4679</v>
      </c>
      <c r="AZ200" s="2" t="s">
        <v>4680</v>
      </c>
      <c r="BA200" s="2" t="s">
        <v>4681</v>
      </c>
      <c r="BB200" s="2">
        <v>0</v>
      </c>
      <c r="BC200" s="3" t="str">
        <f>HYPERLINK("https://patentscout.innography.com/share/YKAUuWVuSU6haRn3iY57Fw%3D%3D","CN110809758")</f>
        <v>CN110809758</v>
      </c>
      <c r="BD200" s="2" t="s">
        <v>4682</v>
      </c>
      <c r="BE200" s="2" t="s">
        <v>4683</v>
      </c>
      <c r="BF200" s="2" t="s">
        <v>4684</v>
      </c>
      <c r="BG200" s="2" t="str">
        <f>HYPERLINK("https://patentscout.innography.com/share/YKAUuWVuSU6haRn3iY57Fw%3D%3D/download", "Download PDF")</f>
        <v>Download PDF</v>
      </c>
      <c r="BH200" s="2" t="s">
        <v>4685</v>
      </c>
      <c r="BI200" s="2" t="s">
        <v>4686</v>
      </c>
      <c r="BJ200" s="2" t="s">
        <v>4687</v>
      </c>
      <c r="BK200" s="2" t="s">
        <v>4688</v>
      </c>
      <c r="BL200" s="2" t="s">
        <v>4688</v>
      </c>
      <c r="BM200" s="2"/>
      <c r="BN200" s="2"/>
      <c r="BO200" s="2"/>
      <c r="BP200" s="2"/>
      <c r="BQ200" s="2"/>
      <c r="BR200" s="2"/>
      <c r="BS200" s="2"/>
      <c r="BT200" s="2"/>
      <c r="BU200" s="2" t="s">
        <v>3833</v>
      </c>
      <c r="BV200" s="2" t="s">
        <v>3866</v>
      </c>
      <c r="BW200" s="2"/>
      <c r="BX200" s="2"/>
      <c r="BY200" s="2"/>
      <c r="BZ200" s="2"/>
      <c r="CA200" s="2"/>
      <c r="CB200" s="2"/>
      <c r="CC200" s="2" t="s">
        <v>1829</v>
      </c>
      <c r="CD200" s="2" t="str">
        <f>HYPERLINK("https://patentscout.innography.com/share/YKAUuWVuSU6haRn3iY57Fw%3D%3D", "Innography Link")</f>
        <v>Innography Link</v>
      </c>
      <c r="CE200" s="2"/>
      <c r="CF200" s="2"/>
      <c r="CG200" s="2"/>
      <c r="CH200" s="2"/>
      <c r="CI200" s="2"/>
      <c r="CK200" s="2" t="s">
        <v>4689</v>
      </c>
      <c r="CL200" s="2" t="s">
        <v>4690</v>
      </c>
      <c r="CM200" s="2" t="s">
        <v>4691</v>
      </c>
      <c r="CN200" s="2" t="s">
        <v>4692</v>
      </c>
    </row>
    <row r="201" spans="1:125" ht="152" customHeight="1" x14ac:dyDescent="0.45">
      <c r="A201" s="2">
        <v>0</v>
      </c>
      <c r="B201" s="2">
        <v>0</v>
      </c>
      <c r="C201" s="2"/>
      <c r="D201" s="2"/>
      <c r="E201" s="2" t="s">
        <v>4693</v>
      </c>
      <c r="F201" s="2" t="s">
        <v>4694</v>
      </c>
      <c r="G201" s="2" t="s">
        <v>4694</v>
      </c>
      <c r="H201" s="2" t="s">
        <v>4695</v>
      </c>
      <c r="I201" s="2" t="s">
        <v>4696</v>
      </c>
      <c r="J201" s="2" t="s">
        <v>4697</v>
      </c>
      <c r="K201" s="2" t="s">
        <v>4698</v>
      </c>
      <c r="L201" s="2" t="s">
        <v>4698</v>
      </c>
      <c r="M201" s="2" t="s">
        <v>4699</v>
      </c>
      <c r="N201" s="2" t="s">
        <v>4700</v>
      </c>
      <c r="O201" s="2" t="s">
        <v>4701</v>
      </c>
      <c r="P201" s="2"/>
      <c r="Q201" s="2" t="s">
        <v>4194</v>
      </c>
      <c r="R201" s="2" t="s">
        <v>4195</v>
      </c>
      <c r="S201" s="2"/>
      <c r="T201" s="2">
        <v>78</v>
      </c>
      <c r="U201" s="2">
        <v>20</v>
      </c>
      <c r="V201" s="2" t="s">
        <v>4702</v>
      </c>
      <c r="W201" s="2"/>
      <c r="X201" s="2"/>
      <c r="Y201" s="2"/>
      <c r="Z201" s="2" t="s">
        <v>4703</v>
      </c>
      <c r="AA201" s="2" t="s">
        <v>4704</v>
      </c>
      <c r="AB201" s="2">
        <v>11</v>
      </c>
      <c r="AC201" s="2" t="s">
        <v>3878</v>
      </c>
      <c r="AD201" s="2" t="s">
        <v>4705</v>
      </c>
      <c r="AE201" s="2">
        <v>184</v>
      </c>
      <c r="AF201" s="2" t="s">
        <v>141</v>
      </c>
      <c r="AG201" s="2"/>
      <c r="AH201" s="2"/>
      <c r="AI201" s="2" t="s">
        <v>4706</v>
      </c>
      <c r="AJ201" s="2"/>
      <c r="AK201" s="2" t="s">
        <v>1816</v>
      </c>
      <c r="AL201" s="2" t="s">
        <v>271</v>
      </c>
      <c r="AM201" s="2" t="s">
        <v>4707</v>
      </c>
      <c r="AN201" s="2" t="s">
        <v>1035</v>
      </c>
      <c r="AO201" s="2" t="s">
        <v>4708</v>
      </c>
      <c r="AP201" s="2">
        <v>715701000</v>
      </c>
      <c r="AQ201" s="2">
        <v>715701000</v>
      </c>
      <c r="AR201" s="2" t="s">
        <v>146</v>
      </c>
      <c r="AS201" s="2">
        <v>58992618</v>
      </c>
      <c r="AT201" s="2" t="s">
        <v>4709</v>
      </c>
      <c r="AU201" s="2"/>
      <c r="AV201" s="2"/>
      <c r="AW201" s="2" t="s">
        <v>3879</v>
      </c>
      <c r="AX201" s="2">
        <v>90007799</v>
      </c>
      <c r="AY201" s="2" t="s">
        <v>4710</v>
      </c>
      <c r="AZ201" s="2" t="s">
        <v>4711</v>
      </c>
      <c r="BA201" s="2" t="s">
        <v>4712</v>
      </c>
      <c r="BB201" s="2">
        <v>0</v>
      </c>
      <c r="BC201" s="3" t="str">
        <f>HYPERLINK("https://patentscout.innography.com/share/Lin-L2OrQ5_qHBu5wvierg%3D%3D","CN108628435")</f>
        <v>CN108628435</v>
      </c>
      <c r="BD201" s="2" t="s">
        <v>4713</v>
      </c>
      <c r="BE201" s="2" t="s">
        <v>4714</v>
      </c>
      <c r="BF201" s="2" t="s">
        <v>4715</v>
      </c>
      <c r="BG201" s="2" t="str">
        <f>HYPERLINK("https://patentscout.innography.com/share/Lin-L2OrQ5_qHBu5wvierg%3D%3D/download", "Download PDF")</f>
        <v>Download PDF</v>
      </c>
      <c r="BH201" s="2" t="s">
        <v>4716</v>
      </c>
      <c r="BI201" s="2"/>
      <c r="BJ201" s="2" t="s">
        <v>4706</v>
      </c>
      <c r="BK201" s="2" t="s">
        <v>4717</v>
      </c>
      <c r="BL201" s="2" t="s">
        <v>4717</v>
      </c>
      <c r="BM201" s="2"/>
      <c r="BN201" s="2"/>
      <c r="BO201" s="2"/>
      <c r="BP201" s="2"/>
      <c r="BQ201" s="2"/>
      <c r="BR201" s="2"/>
      <c r="BS201" s="2"/>
      <c r="BT201" s="2"/>
      <c r="BU201" s="2"/>
      <c r="BV201" s="2" t="s">
        <v>4600</v>
      </c>
      <c r="BW201" s="2"/>
      <c r="BX201" s="2"/>
      <c r="BY201" s="2"/>
      <c r="BZ201" s="2"/>
      <c r="CA201" s="2"/>
      <c r="CB201" s="2"/>
      <c r="CC201" s="2" t="s">
        <v>3884</v>
      </c>
      <c r="CD201" s="2" t="str">
        <f>HYPERLINK("https://patentscout.innography.com/share/Lin-L2OrQ5_qHBu5wvierg%3D%3D", "Innography Link")</f>
        <v>Innography Link</v>
      </c>
      <c r="CE201" s="2"/>
      <c r="CF201" s="2"/>
      <c r="CG201" s="2"/>
      <c r="CH201" s="2"/>
      <c r="CI201" s="2"/>
      <c r="CK201" s="2" t="s">
        <v>4718</v>
      </c>
      <c r="CL201" s="2" t="s">
        <v>4719</v>
      </c>
      <c r="CM201" s="2" t="s">
        <v>4720</v>
      </c>
      <c r="CN201" s="2" t="s">
        <v>4721</v>
      </c>
    </row>
    <row r="202" spans="1:125" ht="152" customHeight="1" x14ac:dyDescent="0.45">
      <c r="A202" s="2">
        <v>0</v>
      </c>
      <c r="B202" s="2">
        <v>3</v>
      </c>
      <c r="C202" s="2" t="s">
        <v>4722</v>
      </c>
      <c r="D202" s="2"/>
      <c r="E202" s="2"/>
      <c r="F202" s="2" t="s">
        <v>808</v>
      </c>
      <c r="G202" s="2" t="s">
        <v>808</v>
      </c>
      <c r="H202" s="2" t="s">
        <v>4723</v>
      </c>
      <c r="I202" s="2" t="s">
        <v>4723</v>
      </c>
      <c r="J202" s="2" t="s">
        <v>4724</v>
      </c>
      <c r="K202" s="2" t="s">
        <v>808</v>
      </c>
      <c r="L202" s="2" t="s">
        <v>808</v>
      </c>
      <c r="M202" s="2" t="s">
        <v>4725</v>
      </c>
      <c r="N202" s="2" t="s">
        <v>4726</v>
      </c>
      <c r="O202" s="2"/>
      <c r="P202" s="2" t="s">
        <v>4727</v>
      </c>
      <c r="Q202" s="2" t="s">
        <v>4727</v>
      </c>
      <c r="R202" s="2" t="s">
        <v>4728</v>
      </c>
      <c r="S202" s="2" t="s">
        <v>4727</v>
      </c>
      <c r="T202" s="2">
        <v>78</v>
      </c>
      <c r="U202" s="2">
        <v>5</v>
      </c>
      <c r="V202" s="2" t="s">
        <v>4729</v>
      </c>
      <c r="W202" s="2"/>
      <c r="X202" s="2"/>
      <c r="Y202" s="2"/>
      <c r="Z202" s="2" t="s">
        <v>4730</v>
      </c>
      <c r="AA202" s="2" t="s">
        <v>4731</v>
      </c>
      <c r="AB202" s="2">
        <v>8</v>
      </c>
      <c r="AC202" s="2" t="s">
        <v>235</v>
      </c>
      <c r="AD202" s="2" t="s">
        <v>4732</v>
      </c>
      <c r="AE202" s="2">
        <v>373</v>
      </c>
      <c r="AF202" s="2" t="s">
        <v>141</v>
      </c>
      <c r="AG202" s="2"/>
      <c r="AH202" s="2"/>
      <c r="AI202" s="2"/>
      <c r="AJ202" s="2"/>
      <c r="AK202" s="2" t="s">
        <v>217</v>
      </c>
      <c r="AL202" s="2" t="s">
        <v>2865</v>
      </c>
      <c r="AM202" s="2" t="s">
        <v>2865</v>
      </c>
      <c r="AN202" s="2" t="s">
        <v>2866</v>
      </c>
      <c r="AO202" s="2" t="s">
        <v>4733</v>
      </c>
      <c r="AP202" s="2">
        <v>705348000</v>
      </c>
      <c r="AQ202" s="2">
        <v>705348000</v>
      </c>
      <c r="AR202" s="2" t="s">
        <v>253</v>
      </c>
      <c r="AS202" s="2">
        <v>82406880</v>
      </c>
      <c r="AT202" s="2" t="s">
        <v>4734</v>
      </c>
      <c r="AU202" s="2"/>
      <c r="AV202" s="2"/>
      <c r="AW202" s="2" t="s">
        <v>336</v>
      </c>
      <c r="AX202" s="2">
        <v>89049440</v>
      </c>
      <c r="AY202" s="2" t="s">
        <v>4735</v>
      </c>
      <c r="AZ202" s="2" t="s">
        <v>4736</v>
      </c>
      <c r="BA202" s="2" t="s">
        <v>4737</v>
      </c>
      <c r="BB202" s="2">
        <v>0</v>
      </c>
      <c r="BC202" s="3" t="str">
        <f>HYPERLINK("https://patentscout.innography.com/share/sDIYjjLKm3SvhlKcDGfJPw%3D%3D","KR102421159")</f>
        <v>KR102421159</v>
      </c>
      <c r="BD202" s="2" t="s">
        <v>4738</v>
      </c>
      <c r="BE202" s="2" t="s">
        <v>4739</v>
      </c>
      <c r="BF202" s="2" t="s">
        <v>4740</v>
      </c>
      <c r="BG202" s="2" t="str">
        <f>HYPERLINK("https://patentscout.innography.com/share/sDIYjjLKm3SvhlKcDGfJPw%3D%3D/download", "Download PDF")</f>
        <v>Download PDF</v>
      </c>
      <c r="BH202" s="2" t="s">
        <v>4741</v>
      </c>
      <c r="BI202" s="2"/>
      <c r="BJ202" s="2" t="s">
        <v>4742</v>
      </c>
      <c r="BK202" s="2" t="s">
        <v>4742</v>
      </c>
      <c r="BL202" s="2" t="s">
        <v>4742</v>
      </c>
      <c r="BM202" s="2"/>
      <c r="BN202" s="2"/>
      <c r="BO202" s="2"/>
      <c r="BP202" s="2"/>
      <c r="BQ202" s="2"/>
      <c r="BR202" s="2"/>
      <c r="BS202" s="2"/>
      <c r="BT202" s="2"/>
      <c r="BU202" s="2"/>
      <c r="BV202" s="2"/>
      <c r="BW202" s="2"/>
      <c r="BX202" s="2"/>
      <c r="BY202" s="2"/>
      <c r="BZ202" s="2"/>
      <c r="CA202" s="2"/>
      <c r="CB202" s="2"/>
      <c r="CC202" s="2" t="s">
        <v>243</v>
      </c>
      <c r="CD202" s="2" t="str">
        <f>HYPERLINK("https://patentscout.innography.com/share/sDIYjjLKm3SvhlKcDGfJPw%3D%3D", "Innography Link")</f>
        <v>Innography Link</v>
      </c>
      <c r="CE202" s="2"/>
      <c r="CF202" s="2"/>
      <c r="CG202" s="2"/>
      <c r="CH202" s="2"/>
      <c r="CI202" s="2"/>
      <c r="CK202" s="2" t="s">
        <v>4743</v>
      </c>
      <c r="CL202" s="2" t="s">
        <v>4744</v>
      </c>
      <c r="CM202" s="2" t="s">
        <v>444</v>
      </c>
      <c r="CN202" s="2" t="s">
        <v>497</v>
      </c>
      <c r="CO202" s="2" t="s">
        <v>4745</v>
      </c>
    </row>
    <row r="203" spans="1:125" ht="152" customHeight="1" x14ac:dyDescent="0.45">
      <c r="A203" s="2">
        <v>0</v>
      </c>
      <c r="B203" s="2">
        <v>7</v>
      </c>
      <c r="C203" s="2" t="s">
        <v>4746</v>
      </c>
      <c r="D203" s="2"/>
      <c r="E203" s="2"/>
      <c r="F203" s="2" t="s">
        <v>1808</v>
      </c>
      <c r="G203" s="2" t="s">
        <v>1808</v>
      </c>
      <c r="H203" s="2" t="s">
        <v>981</v>
      </c>
      <c r="I203" s="2" t="s">
        <v>981</v>
      </c>
      <c r="J203" s="2" t="s">
        <v>2437</v>
      </c>
      <c r="K203" s="2" t="s">
        <v>1808</v>
      </c>
      <c r="L203" s="2" t="s">
        <v>1808</v>
      </c>
      <c r="M203" s="2" t="s">
        <v>4747</v>
      </c>
      <c r="N203" s="2" t="s">
        <v>4748</v>
      </c>
      <c r="O203" s="2"/>
      <c r="P203" s="2" t="s">
        <v>1647</v>
      </c>
      <c r="Q203" s="2" t="s">
        <v>1648</v>
      </c>
      <c r="R203" s="2" t="s">
        <v>1648</v>
      </c>
      <c r="S203" s="2" t="s">
        <v>1647</v>
      </c>
      <c r="T203" s="2">
        <v>78</v>
      </c>
      <c r="U203" s="2">
        <v>7</v>
      </c>
      <c r="V203" s="2" t="s">
        <v>4749</v>
      </c>
      <c r="W203" s="2"/>
      <c r="X203" s="2"/>
      <c r="Y203" s="2"/>
      <c r="Z203" s="2" t="s">
        <v>4750</v>
      </c>
      <c r="AA203" s="2" t="s">
        <v>4751</v>
      </c>
      <c r="AB203" s="2">
        <v>10</v>
      </c>
      <c r="AC203" s="2" t="s">
        <v>235</v>
      </c>
      <c r="AD203" s="2" t="s">
        <v>4752</v>
      </c>
      <c r="AE203" s="2">
        <v>425</v>
      </c>
      <c r="AF203" s="2" t="s">
        <v>141</v>
      </c>
      <c r="AG203" s="2"/>
      <c r="AH203" s="2"/>
      <c r="AI203" s="2"/>
      <c r="AJ203" s="2"/>
      <c r="AK203" s="2" t="s">
        <v>217</v>
      </c>
      <c r="AL203" s="2" t="s">
        <v>298</v>
      </c>
      <c r="AM203" s="2" t="s">
        <v>298</v>
      </c>
      <c r="AN203" s="2" t="s">
        <v>359</v>
      </c>
      <c r="AO203" s="2" t="s">
        <v>4753</v>
      </c>
      <c r="AP203" s="2">
        <v>705348000</v>
      </c>
      <c r="AQ203" s="2">
        <v>705348000</v>
      </c>
      <c r="AR203" s="2" t="s">
        <v>253</v>
      </c>
      <c r="AS203" s="2">
        <v>83113852</v>
      </c>
      <c r="AT203" s="2" t="s">
        <v>4754</v>
      </c>
      <c r="AU203" s="2"/>
      <c r="AV203" s="2"/>
      <c r="AW203" s="2" t="s">
        <v>336</v>
      </c>
      <c r="AX203" s="2">
        <v>90037986</v>
      </c>
      <c r="AY203" s="2" t="s">
        <v>4755</v>
      </c>
      <c r="AZ203" s="2" t="s">
        <v>4756</v>
      </c>
      <c r="BA203" s="2" t="s">
        <v>2450</v>
      </c>
      <c r="BB203" s="2">
        <v>0</v>
      </c>
      <c r="BC203" s="3" t="str">
        <f>HYPERLINK("https://patentscout.innography.com/share/ARUkH1LyZuIDxXq4EqKNwQ%3D%3D","KR102437583")</f>
        <v>KR102437583</v>
      </c>
      <c r="BD203" s="2" t="s">
        <v>4757</v>
      </c>
      <c r="BE203" s="2" t="s">
        <v>4758</v>
      </c>
      <c r="BF203" s="2" t="s">
        <v>4759</v>
      </c>
      <c r="BG203" s="2" t="str">
        <f>HYPERLINK("https://patentscout.innography.com/share/ARUkH1LyZuIDxXq4EqKNwQ%3D%3D/download", "Download PDF")</f>
        <v>Download PDF</v>
      </c>
      <c r="BH203" s="2" t="s">
        <v>4760</v>
      </c>
      <c r="BI203" s="2"/>
      <c r="BJ203" s="2" t="s">
        <v>4761</v>
      </c>
      <c r="BK203" s="2" t="s">
        <v>4761</v>
      </c>
      <c r="BL203" s="2" t="s">
        <v>4761</v>
      </c>
      <c r="BM203" s="2"/>
      <c r="BN203" s="2"/>
      <c r="BO203" s="2"/>
      <c r="BP203" s="2"/>
      <c r="BQ203" s="2"/>
      <c r="BR203" s="2"/>
      <c r="BS203" s="2"/>
      <c r="BT203" s="2"/>
      <c r="BU203" s="2"/>
      <c r="BV203" s="2"/>
      <c r="BW203" s="2"/>
      <c r="BX203" s="2"/>
      <c r="BY203" s="2"/>
      <c r="BZ203" s="2"/>
      <c r="CA203" s="2"/>
      <c r="CB203" s="2"/>
      <c r="CC203" s="2" t="s">
        <v>243</v>
      </c>
      <c r="CD203" s="2" t="str">
        <f>HYPERLINK("https://patentscout.innography.com/share/ARUkH1LyZuIDxXq4EqKNwQ%3D%3D", "Innography Link")</f>
        <v>Innography Link</v>
      </c>
      <c r="CE203" s="2"/>
      <c r="CF203" s="2"/>
      <c r="CG203" s="2"/>
      <c r="CH203" s="2"/>
      <c r="CI203" s="2"/>
      <c r="CK203" s="2" t="s">
        <v>4762</v>
      </c>
      <c r="CL203" s="2" t="s">
        <v>4763</v>
      </c>
    </row>
    <row r="204" spans="1:125" ht="152" customHeight="1" x14ac:dyDescent="0.45">
      <c r="A204" s="2">
        <v>0</v>
      </c>
      <c r="B204" s="2">
        <v>4</v>
      </c>
      <c r="C204" s="2" t="s">
        <v>1051</v>
      </c>
      <c r="D204" s="2"/>
      <c r="E204" s="2"/>
      <c r="F204" s="2" t="s">
        <v>2197</v>
      </c>
      <c r="G204" s="2" t="s">
        <v>2197</v>
      </c>
      <c r="H204" s="2" t="s">
        <v>1053</v>
      </c>
      <c r="I204" s="2" t="s">
        <v>2198</v>
      </c>
      <c r="J204" s="2" t="s">
        <v>1055</v>
      </c>
      <c r="K204" s="2" t="s">
        <v>1052</v>
      </c>
      <c r="L204" s="2" t="s">
        <v>1052</v>
      </c>
      <c r="M204" s="2" t="s">
        <v>4764</v>
      </c>
      <c r="N204" s="2" t="s">
        <v>4765</v>
      </c>
      <c r="O204" s="2" t="s">
        <v>4766</v>
      </c>
      <c r="P204" s="2" t="s">
        <v>1058</v>
      </c>
      <c r="Q204" s="2" t="s">
        <v>1059</v>
      </c>
      <c r="R204" s="2" t="s">
        <v>1060</v>
      </c>
      <c r="S204" s="2" t="s">
        <v>1058</v>
      </c>
      <c r="T204" s="2">
        <v>78</v>
      </c>
      <c r="U204" s="2">
        <v>2</v>
      </c>
      <c r="V204" s="2" t="s">
        <v>4767</v>
      </c>
      <c r="W204" s="2"/>
      <c r="X204" s="2"/>
      <c r="Y204" s="2"/>
      <c r="Z204" s="2" t="s">
        <v>4768</v>
      </c>
      <c r="AA204" s="2" t="s">
        <v>4768</v>
      </c>
      <c r="AB204" s="2">
        <v>1</v>
      </c>
      <c r="AC204" s="2" t="s">
        <v>235</v>
      </c>
      <c r="AD204" s="2" t="s">
        <v>2204</v>
      </c>
      <c r="AE204" s="2">
        <v>1209</v>
      </c>
      <c r="AF204" s="2" t="s">
        <v>141</v>
      </c>
      <c r="AG204" s="2"/>
      <c r="AH204" s="2"/>
      <c r="AI204" s="2"/>
      <c r="AJ204" s="2"/>
      <c r="AK204" s="2" t="s">
        <v>217</v>
      </c>
      <c r="AL204" s="2" t="s">
        <v>1065</v>
      </c>
      <c r="AM204" s="2" t="s">
        <v>1065</v>
      </c>
      <c r="AN204" s="2" t="s">
        <v>1066</v>
      </c>
      <c r="AO204" s="2" t="s">
        <v>4769</v>
      </c>
      <c r="AP204" s="2">
        <v>705348000</v>
      </c>
      <c r="AQ204" s="2">
        <v>705348000</v>
      </c>
      <c r="AR204" s="2" t="s">
        <v>253</v>
      </c>
      <c r="AS204" s="2">
        <v>82700892</v>
      </c>
      <c r="AT204" s="2" t="s">
        <v>1068</v>
      </c>
      <c r="AU204" s="2"/>
      <c r="AV204" s="2"/>
      <c r="AW204" s="2" t="s">
        <v>336</v>
      </c>
      <c r="AX204" s="2">
        <v>89383095</v>
      </c>
      <c r="AY204" s="2" t="s">
        <v>1069</v>
      </c>
      <c r="AZ204" s="2" t="s">
        <v>4770</v>
      </c>
      <c r="BA204" s="2" t="s">
        <v>2206</v>
      </c>
      <c r="BB204" s="2">
        <v>0</v>
      </c>
      <c r="BC204" s="3" t="str">
        <f>HYPERLINK("https://patentscout.innography.com/share/XXn4-TOlLTcHc2krTi7PFg%3D%3D","KR102456158")</f>
        <v>KR102456158</v>
      </c>
      <c r="BD204" s="2" t="s">
        <v>4771</v>
      </c>
      <c r="BE204" s="2" t="s">
        <v>2208</v>
      </c>
      <c r="BF204" s="2" t="s">
        <v>4772</v>
      </c>
      <c r="BG204" s="2" t="str">
        <f>HYPERLINK("https://patentscout.innography.com/share/XXn4-TOlLTcHc2krTi7PFg%3D%3D/download", "Download PDF")</f>
        <v>Download PDF</v>
      </c>
      <c r="BH204" s="2" t="s">
        <v>4773</v>
      </c>
      <c r="BI204" s="2"/>
      <c r="BJ204" s="2" t="s">
        <v>4774</v>
      </c>
      <c r="BK204" s="2" t="s">
        <v>1076</v>
      </c>
      <c r="BL204" s="2" t="s">
        <v>1076</v>
      </c>
      <c r="BM204" s="2"/>
      <c r="BN204" s="2"/>
      <c r="BO204" s="2"/>
      <c r="BP204" s="2"/>
      <c r="BQ204" s="2"/>
      <c r="BR204" s="2"/>
      <c r="BS204" s="2"/>
      <c r="BT204" s="2"/>
      <c r="BU204" s="2"/>
      <c r="BV204" s="2"/>
      <c r="BW204" s="2"/>
      <c r="BX204" s="2"/>
      <c r="BY204" s="2"/>
      <c r="BZ204" s="2"/>
      <c r="CA204" s="2"/>
      <c r="CB204" s="2"/>
      <c r="CC204" s="2" t="s">
        <v>243</v>
      </c>
      <c r="CD204" s="2" t="str">
        <f>HYPERLINK("https://patentscout.innography.com/share/XXn4-TOlLTcHc2krTi7PFg%3D%3D", "Innography Link")</f>
        <v>Innography Link</v>
      </c>
      <c r="CE204" s="2"/>
      <c r="CF204" s="2"/>
      <c r="CG204" s="2"/>
      <c r="CH204" s="2"/>
      <c r="CI204" s="2"/>
      <c r="CK204" s="2" t="s">
        <v>4775</v>
      </c>
    </row>
    <row r="205" spans="1:125" ht="152" customHeight="1" x14ac:dyDescent="0.45">
      <c r="A205" s="2">
        <v>0</v>
      </c>
      <c r="B205" s="2">
        <v>8</v>
      </c>
      <c r="C205" s="2" t="s">
        <v>4776</v>
      </c>
      <c r="D205" s="2"/>
      <c r="E205" s="2"/>
      <c r="F205" s="2" t="s">
        <v>4777</v>
      </c>
      <c r="G205" s="2" t="s">
        <v>4777</v>
      </c>
      <c r="H205" s="2" t="s">
        <v>3945</v>
      </c>
      <c r="I205" s="2" t="s">
        <v>3945</v>
      </c>
      <c r="J205" s="2" t="s">
        <v>3946</v>
      </c>
      <c r="K205" s="2" t="s">
        <v>4777</v>
      </c>
      <c r="L205" s="2" t="s">
        <v>4777</v>
      </c>
      <c r="M205" s="2" t="s">
        <v>4778</v>
      </c>
      <c r="N205" s="2" t="s">
        <v>4779</v>
      </c>
      <c r="O205" s="2"/>
      <c r="P205" s="2" t="s">
        <v>4780</v>
      </c>
      <c r="Q205" s="2" t="s">
        <v>4781</v>
      </c>
      <c r="R205" s="2" t="s">
        <v>4782</v>
      </c>
      <c r="S205" s="2" t="s">
        <v>4780</v>
      </c>
      <c r="T205" s="2">
        <v>78</v>
      </c>
      <c r="U205" s="2">
        <v>5</v>
      </c>
      <c r="V205" s="2" t="s">
        <v>4783</v>
      </c>
      <c r="W205" s="2"/>
      <c r="X205" s="2"/>
      <c r="Y205" s="2"/>
      <c r="Z205" s="2" t="s">
        <v>4784</v>
      </c>
      <c r="AA205" s="2" t="s">
        <v>4785</v>
      </c>
      <c r="AB205" s="2">
        <v>4</v>
      </c>
      <c r="AC205" s="2" t="s">
        <v>235</v>
      </c>
      <c r="AD205" s="2" t="s">
        <v>4786</v>
      </c>
      <c r="AE205" s="2">
        <v>962</v>
      </c>
      <c r="AF205" s="2" t="s">
        <v>141</v>
      </c>
      <c r="AG205" s="2"/>
      <c r="AH205" s="2"/>
      <c r="AI205" s="2"/>
      <c r="AJ205" s="2"/>
      <c r="AK205" s="2" t="s">
        <v>217</v>
      </c>
      <c r="AL205" s="2" t="s">
        <v>1510</v>
      </c>
      <c r="AM205" s="2" t="s">
        <v>1510</v>
      </c>
      <c r="AN205" s="2" t="s">
        <v>1511</v>
      </c>
      <c r="AO205" s="2" t="s">
        <v>4787</v>
      </c>
      <c r="AP205" s="2">
        <v>705348000</v>
      </c>
      <c r="AQ205" s="2">
        <v>705348000</v>
      </c>
      <c r="AR205" s="2" t="s">
        <v>253</v>
      </c>
      <c r="AS205" s="2">
        <v>81182857</v>
      </c>
      <c r="AT205" s="2" t="s">
        <v>4788</v>
      </c>
      <c r="AU205" s="2"/>
      <c r="AV205" s="2"/>
      <c r="AW205" s="2" t="s">
        <v>336</v>
      </c>
      <c r="AX205" s="2">
        <v>87465919</v>
      </c>
      <c r="AY205" s="2" t="s">
        <v>4789</v>
      </c>
      <c r="AZ205" s="2" t="s">
        <v>4790</v>
      </c>
      <c r="BA205" s="2" t="s">
        <v>3965</v>
      </c>
      <c r="BB205" s="2">
        <v>0</v>
      </c>
      <c r="BC205" s="3" t="str">
        <f>HYPERLINK("https://patentscout.innography.com/share/Tu5Berpzpfxvvgo9XxFS1Q%3D%3D","KR102382385")</f>
        <v>KR102382385</v>
      </c>
      <c r="BD205" s="2" t="s">
        <v>4791</v>
      </c>
      <c r="BE205" s="2" t="s">
        <v>4792</v>
      </c>
      <c r="BF205" s="2" t="s">
        <v>4793</v>
      </c>
      <c r="BG205" s="2" t="str">
        <f>HYPERLINK("https://patentscout.innography.com/share/Tu5Berpzpfxvvgo9XxFS1Q%3D%3D/download", "Download PDF")</f>
        <v>Download PDF</v>
      </c>
      <c r="BH205" s="2" t="s">
        <v>4794</v>
      </c>
      <c r="BI205" s="2"/>
      <c r="BJ205" s="2" t="s">
        <v>4795</v>
      </c>
      <c r="BK205" s="2" t="s">
        <v>4795</v>
      </c>
      <c r="BL205" s="2" t="s">
        <v>4795</v>
      </c>
      <c r="BM205" s="2"/>
      <c r="BN205" s="2"/>
      <c r="BO205" s="2"/>
      <c r="BP205" s="2"/>
      <c r="BQ205" s="2"/>
      <c r="BR205" s="2"/>
      <c r="BS205" s="2"/>
      <c r="BT205" s="2"/>
      <c r="BU205" s="2"/>
      <c r="BV205" s="2"/>
      <c r="BW205" s="2"/>
      <c r="BX205" s="2"/>
      <c r="BY205" s="2"/>
      <c r="BZ205" s="2"/>
      <c r="CA205" s="2"/>
      <c r="CB205" s="2"/>
      <c r="CC205" s="2" t="s">
        <v>243</v>
      </c>
      <c r="CD205" s="2" t="str">
        <f>HYPERLINK("https://patentscout.innography.com/share/Tu5Berpzpfxvvgo9XxFS1Q%3D%3D", "Innography Link")</f>
        <v>Innography Link</v>
      </c>
      <c r="CE205" s="2"/>
      <c r="CF205" s="2"/>
      <c r="CG205" s="2"/>
      <c r="CH205" s="2"/>
      <c r="CI205" s="2"/>
      <c r="CK205" s="2" t="s">
        <v>4796</v>
      </c>
      <c r="CL205" s="2" t="s">
        <v>780</v>
      </c>
      <c r="CM205" s="2" t="s">
        <v>4797</v>
      </c>
      <c r="CN205" s="2" t="s">
        <v>371</v>
      </c>
    </row>
    <row r="206" spans="1:125" ht="152" customHeight="1" x14ac:dyDescent="0.45">
      <c r="A206" s="2">
        <v>0</v>
      </c>
      <c r="B206" s="2">
        <v>4</v>
      </c>
      <c r="C206" s="2" t="s">
        <v>4798</v>
      </c>
      <c r="D206" s="2"/>
      <c r="E206" s="2"/>
      <c r="F206" s="2" t="s">
        <v>4777</v>
      </c>
      <c r="G206" s="2" t="s">
        <v>4777</v>
      </c>
      <c r="H206" s="2" t="s">
        <v>4799</v>
      </c>
      <c r="I206" s="2" t="s">
        <v>4799</v>
      </c>
      <c r="J206" s="2" t="s">
        <v>4800</v>
      </c>
      <c r="K206" s="2" t="s">
        <v>4777</v>
      </c>
      <c r="L206" s="2" t="s">
        <v>4777</v>
      </c>
      <c r="M206" s="2" t="s">
        <v>4801</v>
      </c>
      <c r="N206" s="2" t="s">
        <v>4802</v>
      </c>
      <c r="O206" s="2" t="s">
        <v>4803</v>
      </c>
      <c r="P206" s="2" t="s">
        <v>4804</v>
      </c>
      <c r="Q206" s="2" t="s">
        <v>4804</v>
      </c>
      <c r="R206" s="2" t="s">
        <v>4805</v>
      </c>
      <c r="S206" s="2" t="s">
        <v>4804</v>
      </c>
      <c r="T206" s="2">
        <v>78</v>
      </c>
      <c r="U206" s="2">
        <v>3</v>
      </c>
      <c r="V206" s="2" t="s">
        <v>4806</v>
      </c>
      <c r="W206" s="2"/>
      <c r="X206" s="2"/>
      <c r="Y206" s="2"/>
      <c r="Z206" s="2" t="s">
        <v>4807</v>
      </c>
      <c r="AA206" s="2" t="s">
        <v>4808</v>
      </c>
      <c r="AB206" s="2">
        <v>4</v>
      </c>
      <c r="AC206" s="2" t="s">
        <v>235</v>
      </c>
      <c r="AD206" s="2" t="s">
        <v>4809</v>
      </c>
      <c r="AE206" s="2">
        <v>657</v>
      </c>
      <c r="AF206" s="2" t="s">
        <v>141</v>
      </c>
      <c r="AG206" s="2"/>
      <c r="AH206" s="2"/>
      <c r="AI206" s="2"/>
      <c r="AJ206" s="2"/>
      <c r="AK206" s="2" t="s">
        <v>217</v>
      </c>
      <c r="AL206" s="2" t="s">
        <v>2594</v>
      </c>
      <c r="AM206" s="2" t="s">
        <v>2594</v>
      </c>
      <c r="AN206" s="2" t="s">
        <v>2595</v>
      </c>
      <c r="AO206" s="2" t="s">
        <v>4810</v>
      </c>
      <c r="AP206" s="2">
        <v>704278000</v>
      </c>
      <c r="AQ206" s="2">
        <v>704278000</v>
      </c>
      <c r="AR206" s="2" t="s">
        <v>253</v>
      </c>
      <c r="AS206" s="2">
        <v>81182811</v>
      </c>
      <c r="AT206" s="2" t="s">
        <v>4811</v>
      </c>
      <c r="AU206" s="2"/>
      <c r="AV206" s="2"/>
      <c r="AW206" s="2" t="s">
        <v>336</v>
      </c>
      <c r="AX206" s="2">
        <v>87466175</v>
      </c>
      <c r="AY206" s="2" t="s">
        <v>4812</v>
      </c>
      <c r="AZ206" s="2" t="s">
        <v>4813</v>
      </c>
      <c r="BA206" s="2" t="s">
        <v>4814</v>
      </c>
      <c r="BB206" s="2">
        <v>0</v>
      </c>
      <c r="BC206" s="3" t="str">
        <f>HYPERLINK("https://patentscout.innography.com/share/Z1vWnKyBIr1DgbYF5n1pWQ%3D%3D","KR102383574")</f>
        <v>KR102383574</v>
      </c>
      <c r="BD206" s="2" t="s">
        <v>4815</v>
      </c>
      <c r="BE206" s="2" t="s">
        <v>4816</v>
      </c>
      <c r="BF206" s="2" t="s">
        <v>4817</v>
      </c>
      <c r="BG206" s="2" t="str">
        <f>HYPERLINK("https://patentscout.innography.com/share/Z1vWnKyBIr1DgbYF5n1pWQ%3D%3D/download", "Download PDF")</f>
        <v>Download PDF</v>
      </c>
      <c r="BH206" s="2" t="s">
        <v>4818</v>
      </c>
      <c r="BI206" s="2"/>
      <c r="BJ206" s="2" t="s">
        <v>4819</v>
      </c>
      <c r="BK206" s="2" t="s">
        <v>4819</v>
      </c>
      <c r="BL206" s="2" t="s">
        <v>4819</v>
      </c>
      <c r="BM206" s="2"/>
      <c r="BN206" s="2"/>
      <c r="BO206" s="2"/>
      <c r="BP206" s="2"/>
      <c r="BQ206" s="2"/>
      <c r="BR206" s="2"/>
      <c r="BS206" s="2"/>
      <c r="BT206" s="2"/>
      <c r="BU206" s="2"/>
      <c r="BV206" s="2"/>
      <c r="BW206" s="2"/>
      <c r="BX206" s="2"/>
      <c r="BY206" s="2"/>
      <c r="BZ206" s="2"/>
      <c r="CA206" s="2"/>
      <c r="CB206" s="2"/>
      <c r="CC206" s="2" t="s">
        <v>243</v>
      </c>
      <c r="CD206" s="2" t="str">
        <f>HYPERLINK("https://patentscout.innography.com/share/Z1vWnKyBIr1DgbYF5n1pWQ%3D%3D", "Innography Link")</f>
        <v>Innography Link</v>
      </c>
      <c r="CE206" s="2"/>
      <c r="CF206" s="2"/>
      <c r="CG206" s="2"/>
      <c r="CH206" s="2"/>
      <c r="CI206" s="2"/>
      <c r="CK206" s="2" t="s">
        <v>4820</v>
      </c>
      <c r="CL206" s="2" t="s">
        <v>780</v>
      </c>
      <c r="CM206" s="2" t="s">
        <v>444</v>
      </c>
      <c r="CN206" s="2" t="s">
        <v>371</v>
      </c>
    </row>
    <row r="207" spans="1:125" ht="152" customHeight="1" x14ac:dyDescent="0.45">
      <c r="A207" s="2">
        <v>0</v>
      </c>
      <c r="B207" s="2">
        <v>0</v>
      </c>
      <c r="C207" s="2"/>
      <c r="D207" s="2"/>
      <c r="E207" s="2" t="s">
        <v>4821</v>
      </c>
      <c r="F207" s="2"/>
      <c r="G207" s="2" t="s">
        <v>4821</v>
      </c>
      <c r="H207" s="2" t="s">
        <v>3894</v>
      </c>
      <c r="I207" s="2" t="s">
        <v>4822</v>
      </c>
      <c r="J207" s="2" t="s">
        <v>4823</v>
      </c>
      <c r="K207" s="2" t="s">
        <v>3893</v>
      </c>
      <c r="L207" s="2" t="s">
        <v>3893</v>
      </c>
      <c r="M207" s="2" t="s">
        <v>4824</v>
      </c>
      <c r="N207" s="2" t="s">
        <v>4825</v>
      </c>
      <c r="O207" s="2"/>
      <c r="P207" s="2" t="s">
        <v>3680</v>
      </c>
      <c r="Q207" s="2" t="s">
        <v>3680</v>
      </c>
      <c r="R207" s="2" t="s">
        <v>3681</v>
      </c>
      <c r="S207" s="2" t="s">
        <v>3680</v>
      </c>
      <c r="T207" s="2">
        <v>78</v>
      </c>
      <c r="U207" s="2">
        <v>31</v>
      </c>
      <c r="V207" s="2" t="s">
        <v>4826</v>
      </c>
      <c r="W207" s="2"/>
      <c r="X207" s="2"/>
      <c r="Y207" s="2"/>
      <c r="Z207" s="2" t="s">
        <v>4827</v>
      </c>
      <c r="AA207" s="2" t="s">
        <v>4828</v>
      </c>
      <c r="AB207" s="2">
        <v>38</v>
      </c>
      <c r="AC207" s="2" t="s">
        <v>139</v>
      </c>
      <c r="AD207" s="2" t="s">
        <v>4829</v>
      </c>
      <c r="AE207" s="2">
        <v>105</v>
      </c>
      <c r="AF207" s="2" t="s">
        <v>141</v>
      </c>
      <c r="AG207" s="2" t="s">
        <v>4830</v>
      </c>
      <c r="AH207" s="2"/>
      <c r="AI207" s="2"/>
      <c r="AJ207" s="2"/>
      <c r="AK207" s="2" t="s">
        <v>619</v>
      </c>
      <c r="AL207" s="2" t="s">
        <v>3898</v>
      </c>
      <c r="AM207" s="2" t="s">
        <v>3899</v>
      </c>
      <c r="AN207" s="2" t="s">
        <v>4831</v>
      </c>
      <c r="AO207" s="2" t="s">
        <v>4832</v>
      </c>
      <c r="AP207" s="2">
        <v>706025000</v>
      </c>
      <c r="AQ207" s="2">
        <v>706025000</v>
      </c>
      <c r="AR207" s="2" t="s">
        <v>415</v>
      </c>
      <c r="AS207" s="2">
        <v>74046605</v>
      </c>
      <c r="AT207" s="2" t="s">
        <v>3900</v>
      </c>
      <c r="AU207" s="2"/>
      <c r="AV207" s="2"/>
      <c r="AW207" s="2" t="s">
        <v>624</v>
      </c>
      <c r="AX207" s="2">
        <v>78691334</v>
      </c>
      <c r="AY207" s="2" t="s">
        <v>3901</v>
      </c>
      <c r="AZ207" s="2" t="s">
        <v>4833</v>
      </c>
      <c r="BA207" s="2" t="s">
        <v>4834</v>
      </c>
      <c r="BB207" s="2">
        <v>0</v>
      </c>
      <c r="BC207" s="3" t="str">
        <f>HYPERLINK("https://patentscout.innography.com/share/dExlsScSvnynMGnzqXqfXA%3D%3D","WO2022106829")</f>
        <v>WO2022106829</v>
      </c>
      <c r="BD207" s="2" t="s">
        <v>4835</v>
      </c>
      <c r="BE207" s="2" t="s">
        <v>4836</v>
      </c>
      <c r="BF207" s="2" t="s">
        <v>4837</v>
      </c>
      <c r="BG207" s="2" t="str">
        <f>HYPERLINK("https://patentscout.innography.com/share/dExlsScSvnynMGnzqXqfXA%3D%3D/download", "Download PDF")</f>
        <v>Download PDF</v>
      </c>
      <c r="BH207" s="2" t="s">
        <v>4838</v>
      </c>
      <c r="BI207" s="2"/>
      <c r="BJ207" s="2" t="s">
        <v>4839</v>
      </c>
      <c r="BK207" s="2" t="s">
        <v>3907</v>
      </c>
      <c r="BL207" s="2" t="s">
        <v>3907</v>
      </c>
      <c r="BM207" s="2"/>
      <c r="BN207" s="2"/>
      <c r="BO207" s="2"/>
      <c r="BP207" s="2"/>
      <c r="BQ207" s="2"/>
      <c r="BR207" s="2"/>
      <c r="BS207" s="2"/>
      <c r="BT207" s="2"/>
      <c r="BU207" s="2"/>
      <c r="BV207" s="2"/>
      <c r="BW207" s="2"/>
      <c r="BX207" s="2"/>
      <c r="BY207" s="2"/>
      <c r="BZ207" s="2"/>
      <c r="CA207" s="2"/>
      <c r="CB207" s="2"/>
      <c r="CC207" s="2" t="s">
        <v>635</v>
      </c>
      <c r="CD207" s="2" t="str">
        <f>HYPERLINK("https://patentscout.innography.com/share/dExlsScSvnynMGnzqXqfXA%3D%3D", "Innography Link")</f>
        <v>Innography Link</v>
      </c>
      <c r="CE207" s="2"/>
      <c r="CF207" s="2"/>
      <c r="CG207" s="2"/>
      <c r="CH207" s="2"/>
      <c r="CI207" s="2"/>
      <c r="CK207" s="2" t="s">
        <v>4840</v>
      </c>
      <c r="CL207" s="2" t="s">
        <v>4841</v>
      </c>
      <c r="CM207" s="2" t="s">
        <v>4842</v>
      </c>
      <c r="CN207" s="2" t="s">
        <v>4843</v>
      </c>
      <c r="CO207" s="2" t="s">
        <v>4844</v>
      </c>
      <c r="CP207" s="2" t="s">
        <v>4845</v>
      </c>
      <c r="CQ207" s="2" t="s">
        <v>4846</v>
      </c>
      <c r="CR207" s="2" t="s">
        <v>4847</v>
      </c>
      <c r="CS207" s="2" t="s">
        <v>4848</v>
      </c>
      <c r="CT207" s="2" t="s">
        <v>4849</v>
      </c>
      <c r="CU207" s="2" t="s">
        <v>4850</v>
      </c>
      <c r="CV207" s="2" t="s">
        <v>4851</v>
      </c>
      <c r="CW207" s="2" t="s">
        <v>4852</v>
      </c>
      <c r="CX207" s="2" t="s">
        <v>4853</v>
      </c>
      <c r="CY207" s="2" t="s">
        <v>4854</v>
      </c>
      <c r="CZ207" s="2" t="s">
        <v>4855</v>
      </c>
      <c r="DA207" s="2" t="s">
        <v>4856</v>
      </c>
      <c r="DB207" s="2" t="s">
        <v>4857</v>
      </c>
      <c r="DC207" s="2" t="s">
        <v>4858</v>
      </c>
      <c r="DD207" s="2" t="s">
        <v>4859</v>
      </c>
      <c r="DE207" s="2" t="s">
        <v>4860</v>
      </c>
      <c r="DF207" s="2" t="s">
        <v>4861</v>
      </c>
      <c r="DG207" s="2" t="s">
        <v>4862</v>
      </c>
      <c r="DH207" s="2" t="s">
        <v>4863</v>
      </c>
      <c r="DI207" s="2" t="s">
        <v>4864</v>
      </c>
      <c r="DJ207" s="2" t="s">
        <v>4865</v>
      </c>
      <c r="DK207" s="2" t="s">
        <v>4866</v>
      </c>
      <c r="DL207" s="2" t="s">
        <v>4867</v>
      </c>
      <c r="DM207" s="2" t="s">
        <v>4868</v>
      </c>
      <c r="DN207" s="2" t="s">
        <v>4869</v>
      </c>
      <c r="DO207" s="2" t="s">
        <v>4870</v>
      </c>
      <c r="DP207" s="2" t="s">
        <v>4871</v>
      </c>
      <c r="DQ207" s="2" t="s">
        <v>4872</v>
      </c>
      <c r="DR207" s="2" t="s">
        <v>4873</v>
      </c>
      <c r="DS207" s="2" t="s">
        <v>4874</v>
      </c>
      <c r="DT207" s="2" t="s">
        <v>4875</v>
      </c>
      <c r="DU207" s="2" t="s">
        <v>4876</v>
      </c>
    </row>
    <row r="208" spans="1:125" ht="152" customHeight="1" x14ac:dyDescent="0.45">
      <c r="A208" s="2">
        <v>0</v>
      </c>
      <c r="B208" s="2">
        <v>1</v>
      </c>
      <c r="C208" s="2" t="s">
        <v>4877</v>
      </c>
      <c r="D208" s="2"/>
      <c r="E208" s="2"/>
      <c r="F208" s="2" t="s">
        <v>4878</v>
      </c>
      <c r="G208" s="2" t="s">
        <v>4878</v>
      </c>
      <c r="H208" s="2" t="s">
        <v>4879</v>
      </c>
      <c r="I208" s="2" t="s">
        <v>4879</v>
      </c>
      <c r="J208" s="2" t="s">
        <v>4880</v>
      </c>
      <c r="K208" s="2" t="s">
        <v>4878</v>
      </c>
      <c r="L208" s="2" t="s">
        <v>4878</v>
      </c>
      <c r="M208" s="2" t="s">
        <v>4881</v>
      </c>
      <c r="N208" s="2" t="s">
        <v>4882</v>
      </c>
      <c r="O208" s="2"/>
      <c r="P208" s="2" t="s">
        <v>4883</v>
      </c>
      <c r="Q208" s="2" t="s">
        <v>4883</v>
      </c>
      <c r="R208" s="2" t="s">
        <v>4884</v>
      </c>
      <c r="S208" s="2" t="s">
        <v>4883</v>
      </c>
      <c r="T208" s="2">
        <v>78</v>
      </c>
      <c r="U208" s="2">
        <v>4</v>
      </c>
      <c r="V208" s="2" t="s">
        <v>4885</v>
      </c>
      <c r="W208" s="2" t="s">
        <v>4886</v>
      </c>
      <c r="X208" s="2">
        <v>2192</v>
      </c>
      <c r="Y208" s="2" t="s">
        <v>4887</v>
      </c>
      <c r="Z208" s="2" t="s">
        <v>4888</v>
      </c>
      <c r="AA208" s="2" t="s">
        <v>4889</v>
      </c>
      <c r="AB208" s="2">
        <v>1</v>
      </c>
      <c r="AC208" s="2" t="s">
        <v>235</v>
      </c>
      <c r="AD208" s="2" t="s">
        <v>4890</v>
      </c>
      <c r="AE208" s="2">
        <v>219</v>
      </c>
      <c r="AF208" s="2" t="s">
        <v>141</v>
      </c>
      <c r="AG208" s="2"/>
      <c r="AH208" s="2"/>
      <c r="AI208" s="2"/>
      <c r="AJ208" s="2"/>
      <c r="AK208" s="2" t="s">
        <v>142</v>
      </c>
      <c r="AL208" s="2" t="s">
        <v>4891</v>
      </c>
      <c r="AM208" s="2" t="s">
        <v>4892</v>
      </c>
      <c r="AN208" s="2" t="s">
        <v>4893</v>
      </c>
      <c r="AO208" s="2" t="s">
        <v>4894</v>
      </c>
      <c r="AP208" s="2">
        <v>703020000</v>
      </c>
      <c r="AQ208" s="2">
        <v>703020000</v>
      </c>
      <c r="AR208" s="2" t="s">
        <v>253</v>
      </c>
      <c r="AS208" s="2">
        <v>68102032</v>
      </c>
      <c r="AT208" s="2" t="s">
        <v>4895</v>
      </c>
      <c r="AU208" s="2"/>
      <c r="AV208" s="2"/>
      <c r="AW208" s="2" t="s">
        <v>254</v>
      </c>
      <c r="AX208" s="2">
        <v>90435755</v>
      </c>
      <c r="AY208" s="2" t="s">
        <v>4896</v>
      </c>
      <c r="AZ208" s="2" t="s">
        <v>4897</v>
      </c>
      <c r="BA208" s="2" t="s">
        <v>4898</v>
      </c>
      <c r="BB208" s="2">
        <v>0</v>
      </c>
      <c r="BC208" s="3" t="str">
        <f>HYPERLINK("https://patentscout.innography.com/share/TDfoJazDGPKewFrAan-KYA%3D%3D","US10437563")</f>
        <v>US10437563</v>
      </c>
      <c r="BD208" s="2" t="s">
        <v>4899</v>
      </c>
      <c r="BE208" s="2" t="s">
        <v>4900</v>
      </c>
      <c r="BF208" s="2" t="s">
        <v>4901</v>
      </c>
      <c r="BG208" s="2" t="str">
        <f>HYPERLINK("https://patentscout.innography.com/share/TDfoJazDGPKewFrAan-KYA%3D%3D/download", "Download PDF")</f>
        <v>Download PDF</v>
      </c>
      <c r="BH208" s="2" t="s">
        <v>4902</v>
      </c>
      <c r="BI208" s="2"/>
      <c r="BJ208" s="2" t="s">
        <v>4896</v>
      </c>
      <c r="BK208" s="2" t="s">
        <v>4896</v>
      </c>
      <c r="BL208" s="2" t="s">
        <v>4896</v>
      </c>
      <c r="BM208" s="2"/>
      <c r="BN208" s="2"/>
      <c r="BO208" s="2"/>
      <c r="BP208" s="2"/>
      <c r="BQ208" s="2"/>
      <c r="BR208" s="2"/>
      <c r="BS208" s="2"/>
      <c r="BT208" s="2"/>
      <c r="BU208" s="2"/>
      <c r="BV208" s="2"/>
      <c r="BW208" s="2"/>
      <c r="BX208" s="2"/>
      <c r="BY208" s="2"/>
      <c r="BZ208" s="2"/>
      <c r="CA208" s="2"/>
      <c r="CB208" s="2"/>
      <c r="CC208" s="2" t="s">
        <v>259</v>
      </c>
      <c r="CD208" s="2" t="str">
        <f>HYPERLINK("https://patentscout.innography.com/share/TDfoJazDGPKewFrAan-KYA%3D%3D", "Innography Link")</f>
        <v>Innography Link</v>
      </c>
      <c r="CE208" s="2"/>
      <c r="CF208" s="2"/>
      <c r="CG208" s="2"/>
      <c r="CH208" s="2"/>
      <c r="CI208" s="2"/>
      <c r="CK208" s="2" t="s">
        <v>4889</v>
      </c>
    </row>
    <row r="209" spans="1:98" ht="152" customHeight="1" x14ac:dyDescent="0.45">
      <c r="A209" s="2">
        <v>0</v>
      </c>
      <c r="B209" s="2">
        <v>0</v>
      </c>
      <c r="C209" s="2"/>
      <c r="D209" s="2"/>
      <c r="E209" s="2" t="s">
        <v>2812</v>
      </c>
      <c r="F209" s="2"/>
      <c r="G209" s="2" t="s">
        <v>2812</v>
      </c>
      <c r="H209" s="2" t="s">
        <v>4903</v>
      </c>
      <c r="I209" s="2" t="s">
        <v>4904</v>
      </c>
      <c r="J209" s="2" t="s">
        <v>4905</v>
      </c>
      <c r="K209" s="2" t="s">
        <v>2812</v>
      </c>
      <c r="L209" s="2" t="s">
        <v>1131</v>
      </c>
      <c r="M209" s="2" t="s">
        <v>4906</v>
      </c>
      <c r="N209" s="2" t="s">
        <v>4907</v>
      </c>
      <c r="O209" s="2" t="s">
        <v>4908</v>
      </c>
      <c r="P209" s="2" t="s">
        <v>4909</v>
      </c>
      <c r="Q209" s="2"/>
      <c r="R209" s="2"/>
      <c r="S209" s="2" t="s">
        <v>4909</v>
      </c>
      <c r="T209" s="2">
        <v>78</v>
      </c>
      <c r="U209" s="2">
        <v>14</v>
      </c>
      <c r="V209" s="2" t="s">
        <v>4910</v>
      </c>
      <c r="W209" s="2" t="s">
        <v>533</v>
      </c>
      <c r="X209" s="2"/>
      <c r="Y209" s="2"/>
      <c r="Z209" s="2" t="s">
        <v>4911</v>
      </c>
      <c r="AA209" s="2" t="s">
        <v>4912</v>
      </c>
      <c r="AB209" s="2">
        <v>20</v>
      </c>
      <c r="AC209" s="2" t="s">
        <v>139</v>
      </c>
      <c r="AD209" s="2" t="s">
        <v>4913</v>
      </c>
      <c r="AE209" s="2">
        <v>345</v>
      </c>
      <c r="AF209" s="2" t="s">
        <v>141</v>
      </c>
      <c r="AG209" s="2"/>
      <c r="AH209" s="2"/>
      <c r="AI209" s="2"/>
      <c r="AJ209" s="2"/>
      <c r="AK209" s="2" t="s">
        <v>142</v>
      </c>
      <c r="AL209" s="2" t="s">
        <v>2681</v>
      </c>
      <c r="AM209" s="2" t="s">
        <v>4914</v>
      </c>
      <c r="AN209" s="2" t="s">
        <v>717</v>
      </c>
      <c r="AO209" s="2" t="s">
        <v>4915</v>
      </c>
      <c r="AP209" s="2">
        <v>705348000</v>
      </c>
      <c r="AQ209" s="2">
        <v>705348000</v>
      </c>
      <c r="AR209" s="2" t="s">
        <v>541</v>
      </c>
      <c r="AS209" s="2">
        <v>80224462</v>
      </c>
      <c r="AT209" s="2" t="s">
        <v>4916</v>
      </c>
      <c r="AU209" s="2"/>
      <c r="AV209" s="2"/>
      <c r="AW209" s="2" t="s">
        <v>148</v>
      </c>
      <c r="AX209" s="2">
        <v>45351939</v>
      </c>
      <c r="AY209" s="2" t="s">
        <v>4917</v>
      </c>
      <c r="AZ209" s="2" t="s">
        <v>4918</v>
      </c>
      <c r="BA209" s="2" t="s">
        <v>4919</v>
      </c>
      <c r="BB209" s="2">
        <v>0</v>
      </c>
      <c r="BC209" s="3" t="str">
        <f>HYPERLINK("https://patentscout.innography.com/share/pvhiNtlHRteGFgLataMGaA%3D%3D","US20220051180")</f>
        <v>US20220051180</v>
      </c>
      <c r="BD209" s="2" t="s">
        <v>4920</v>
      </c>
      <c r="BE209" s="2" t="s">
        <v>4921</v>
      </c>
      <c r="BF209" s="2" t="s">
        <v>4922</v>
      </c>
      <c r="BG209" s="2" t="str">
        <f>HYPERLINK("https://patentscout.innography.com/share/pvhiNtlHRteGFgLataMGaA%3D%3D/download", "Download PDF")</f>
        <v>Download PDF</v>
      </c>
      <c r="BH209" s="2" t="s">
        <v>4923</v>
      </c>
      <c r="BI209" s="2"/>
      <c r="BJ209" s="2" t="s">
        <v>4924</v>
      </c>
      <c r="BK209" s="2" t="s">
        <v>4924</v>
      </c>
      <c r="BL209" s="2" t="s">
        <v>4925</v>
      </c>
      <c r="BM209" s="2"/>
      <c r="BN209" s="2"/>
      <c r="BO209" s="2"/>
      <c r="BP209" s="2"/>
      <c r="BQ209" s="2"/>
      <c r="BR209" s="2"/>
      <c r="BS209" s="2"/>
      <c r="BT209" s="2"/>
      <c r="BU209" s="2"/>
      <c r="BV209" s="2"/>
      <c r="BW209" s="2"/>
      <c r="BX209" s="2"/>
      <c r="BY209" s="2"/>
      <c r="BZ209" s="2"/>
      <c r="CA209" s="2"/>
      <c r="CB209" s="2"/>
      <c r="CC209" s="2" t="s">
        <v>158</v>
      </c>
      <c r="CD209" s="2" t="str">
        <f>HYPERLINK("https://patentscout.innography.com/share/pvhiNtlHRteGFgLataMGaA%3D%3D", "Innography Link")</f>
        <v>Innography Link</v>
      </c>
      <c r="CE209" s="2"/>
      <c r="CF209" s="2"/>
      <c r="CG209" s="2"/>
      <c r="CH209" s="2"/>
      <c r="CI209" s="2"/>
      <c r="CK209" s="2" t="s">
        <v>4926</v>
      </c>
      <c r="CL209" s="2" t="s">
        <v>4927</v>
      </c>
      <c r="CM209" s="2" t="s">
        <v>4928</v>
      </c>
    </row>
    <row r="210" spans="1:98" ht="152" customHeight="1" x14ac:dyDescent="0.45">
      <c r="A210" s="2">
        <v>0</v>
      </c>
      <c r="B210" s="2">
        <v>0</v>
      </c>
      <c r="C210" s="2"/>
      <c r="D210" s="2"/>
      <c r="E210" s="2" t="s">
        <v>4929</v>
      </c>
      <c r="F210" s="2"/>
      <c r="G210" s="2" t="s">
        <v>4929</v>
      </c>
      <c r="H210" s="2" t="s">
        <v>4930</v>
      </c>
      <c r="I210" s="2" t="s">
        <v>4930</v>
      </c>
      <c r="J210" s="2" t="s">
        <v>4931</v>
      </c>
      <c r="K210" s="2" t="s">
        <v>4929</v>
      </c>
      <c r="L210" s="2" t="s">
        <v>4929</v>
      </c>
      <c r="M210" s="2" t="s">
        <v>4932</v>
      </c>
      <c r="N210" s="2" t="s">
        <v>4933</v>
      </c>
      <c r="O210" s="2"/>
      <c r="P210" s="2" t="s">
        <v>4934</v>
      </c>
      <c r="Q210" s="2" t="s">
        <v>4934</v>
      </c>
      <c r="R210" s="2" t="s">
        <v>4935</v>
      </c>
      <c r="S210" s="2" t="s">
        <v>4934</v>
      </c>
      <c r="T210" s="2">
        <v>78</v>
      </c>
      <c r="U210" s="2">
        <v>7</v>
      </c>
      <c r="V210" s="2" t="s">
        <v>4936</v>
      </c>
      <c r="W210" s="2"/>
      <c r="X210" s="2"/>
      <c r="Y210" s="2"/>
      <c r="Z210" s="2" t="s">
        <v>4937</v>
      </c>
      <c r="AA210" s="2" t="s">
        <v>4938</v>
      </c>
      <c r="AB210" s="2">
        <v>9</v>
      </c>
      <c r="AC210" s="2" t="s">
        <v>214</v>
      </c>
      <c r="AD210" s="2" t="s">
        <v>4939</v>
      </c>
      <c r="AE210" s="2">
        <v>53</v>
      </c>
      <c r="AF210" s="2" t="s">
        <v>141</v>
      </c>
      <c r="AG210" s="2"/>
      <c r="AH210" s="2"/>
      <c r="AI210" s="2"/>
      <c r="AJ210" s="2"/>
      <c r="AK210" s="2" t="s">
        <v>1816</v>
      </c>
      <c r="AL210" s="2" t="s">
        <v>2619</v>
      </c>
      <c r="AM210" s="2" t="s">
        <v>4940</v>
      </c>
      <c r="AN210" s="2" t="s">
        <v>1588</v>
      </c>
      <c r="AO210" s="2" t="s">
        <v>4941</v>
      </c>
      <c r="AP210" s="2">
        <v>340005530</v>
      </c>
      <c r="AQ210" s="2">
        <v>340005530</v>
      </c>
      <c r="AR210" s="2" t="s">
        <v>253</v>
      </c>
      <c r="AS210" s="2">
        <v>82331791</v>
      </c>
      <c r="AT210" s="2" t="s">
        <v>4942</v>
      </c>
      <c r="AU210" s="2"/>
      <c r="AV210" s="2"/>
      <c r="AW210" s="2" t="s">
        <v>1821</v>
      </c>
      <c r="AX210" s="2">
        <v>91961758</v>
      </c>
      <c r="AY210" s="2" t="s">
        <v>4943</v>
      </c>
      <c r="AZ210" s="2" t="s">
        <v>4944</v>
      </c>
      <c r="BA210" s="2" t="s">
        <v>4945</v>
      </c>
      <c r="BB210" s="2">
        <v>0</v>
      </c>
      <c r="BC210" s="3" t="str">
        <f>HYPERLINK("https://patentscout.innography.com/share/_RXlzDlt3AykMTHoP5VwoQ%3D%3D","CN114758103")</f>
        <v>CN114758103</v>
      </c>
      <c r="BD210" s="2" t="s">
        <v>4946</v>
      </c>
      <c r="BE210" s="2" t="s">
        <v>4947</v>
      </c>
      <c r="BF210" s="2" t="s">
        <v>4948</v>
      </c>
      <c r="BG210" s="2" t="str">
        <f>HYPERLINK("https://patentscout.innography.com/share/_RXlzDlt3AykMTHoP5VwoQ%3D%3D/download", "Download PDF")</f>
        <v>Download PDF</v>
      </c>
      <c r="BH210" s="2" t="s">
        <v>4949</v>
      </c>
      <c r="BI210" s="2"/>
      <c r="BJ210" s="2" t="s">
        <v>4943</v>
      </c>
      <c r="BK210" s="2" t="s">
        <v>4943</v>
      </c>
      <c r="BL210" s="2" t="s">
        <v>4943</v>
      </c>
      <c r="BM210" s="2"/>
      <c r="BN210" s="2"/>
      <c r="BO210" s="2"/>
      <c r="BP210" s="2"/>
      <c r="BQ210" s="2"/>
      <c r="BR210" s="2"/>
      <c r="BS210" s="2"/>
      <c r="BT210" s="2"/>
      <c r="BU210" s="2"/>
      <c r="BV210" s="2"/>
      <c r="BW210" s="2"/>
      <c r="BX210" s="2"/>
      <c r="BY210" s="2"/>
      <c r="BZ210" s="2"/>
      <c r="CA210" s="2"/>
      <c r="CB210" s="2"/>
      <c r="CC210" s="2" t="s">
        <v>1829</v>
      </c>
      <c r="CD210" s="2" t="str">
        <f>HYPERLINK("https://patentscout.innography.com/share/_RXlzDlt3AykMTHoP5VwoQ%3D%3D", "Innography Link")</f>
        <v>Innography Link</v>
      </c>
      <c r="CE210" s="2"/>
      <c r="CF210" s="2"/>
      <c r="CG210" s="2"/>
      <c r="CH210" s="2"/>
      <c r="CI210" s="2"/>
      <c r="CK210" s="2" t="s">
        <v>4950</v>
      </c>
    </row>
    <row r="211" spans="1:98" ht="152" customHeight="1" x14ac:dyDescent="0.45">
      <c r="A211" s="2">
        <v>0</v>
      </c>
      <c r="B211" s="2">
        <v>2</v>
      </c>
      <c r="C211" s="2" t="s">
        <v>4951</v>
      </c>
      <c r="D211" s="2"/>
      <c r="E211" s="2"/>
      <c r="F211" s="2" t="s">
        <v>859</v>
      </c>
      <c r="G211" s="2" t="s">
        <v>859</v>
      </c>
      <c r="H211" s="2" t="s">
        <v>4952</v>
      </c>
      <c r="I211" s="2" t="s">
        <v>4953</v>
      </c>
      <c r="J211" s="2" t="s">
        <v>4954</v>
      </c>
      <c r="K211" s="2" t="s">
        <v>859</v>
      </c>
      <c r="L211" s="2" t="s">
        <v>859</v>
      </c>
      <c r="M211" s="2" t="s">
        <v>4955</v>
      </c>
      <c r="N211" s="2" t="s">
        <v>4956</v>
      </c>
      <c r="O211" s="2" t="s">
        <v>4957</v>
      </c>
      <c r="P211" s="2" t="s">
        <v>4958</v>
      </c>
      <c r="Q211" s="2" t="s">
        <v>4959</v>
      </c>
      <c r="R211" s="2" t="s">
        <v>4959</v>
      </c>
      <c r="S211" s="2" t="s">
        <v>4958</v>
      </c>
      <c r="T211" s="2">
        <v>78</v>
      </c>
      <c r="U211" s="2">
        <v>5</v>
      </c>
      <c r="V211" s="2" t="s">
        <v>4960</v>
      </c>
      <c r="W211" s="2"/>
      <c r="X211" s="2"/>
      <c r="Y211" s="2"/>
      <c r="Z211" s="2" t="s">
        <v>4961</v>
      </c>
      <c r="AA211" s="2" t="s">
        <v>4962</v>
      </c>
      <c r="AB211" s="2">
        <v>9</v>
      </c>
      <c r="AC211" s="2" t="s">
        <v>235</v>
      </c>
      <c r="AD211" s="2" t="s">
        <v>4963</v>
      </c>
      <c r="AE211" s="2">
        <v>487</v>
      </c>
      <c r="AF211" s="2" t="s">
        <v>141</v>
      </c>
      <c r="AG211" s="2"/>
      <c r="AH211" s="2"/>
      <c r="AI211" s="2"/>
      <c r="AJ211" s="2"/>
      <c r="AK211" s="2" t="s">
        <v>217</v>
      </c>
      <c r="AL211" s="2" t="s">
        <v>4964</v>
      </c>
      <c r="AM211" s="2" t="s">
        <v>4965</v>
      </c>
      <c r="AN211" s="2" t="s">
        <v>539</v>
      </c>
      <c r="AO211" s="2" t="s">
        <v>4966</v>
      </c>
      <c r="AP211" s="2">
        <v>705348000</v>
      </c>
      <c r="AQ211" s="2">
        <v>705348000</v>
      </c>
      <c r="AR211" s="2" t="s">
        <v>253</v>
      </c>
      <c r="AS211" s="2">
        <v>83810504</v>
      </c>
      <c r="AT211" s="2" t="s">
        <v>4967</v>
      </c>
      <c r="AU211" s="2"/>
      <c r="AV211" s="2"/>
      <c r="AW211" s="2" t="s">
        <v>336</v>
      </c>
      <c r="AX211" s="2">
        <v>92243797</v>
      </c>
      <c r="AY211" s="2" t="s">
        <v>4968</v>
      </c>
      <c r="AZ211" s="2" t="s">
        <v>4969</v>
      </c>
      <c r="BA211" s="2" t="s">
        <v>4970</v>
      </c>
      <c r="BB211" s="2">
        <v>0</v>
      </c>
      <c r="BC211" s="3" t="str">
        <f>HYPERLINK("https://patentscout.innography.com/share/uK9aYi8I8avVxLyWo-vDOg%3D%3D","KR102459466")</f>
        <v>KR102459466</v>
      </c>
      <c r="BD211" s="2" t="s">
        <v>4971</v>
      </c>
      <c r="BE211" s="2" t="s">
        <v>4972</v>
      </c>
      <c r="BF211" s="2" t="s">
        <v>4973</v>
      </c>
      <c r="BG211" s="2" t="str">
        <f>HYPERLINK("https://patentscout.innography.com/share/uK9aYi8I8avVxLyWo-vDOg%3D%3D/download", "Download PDF")</f>
        <v>Download PDF</v>
      </c>
      <c r="BH211" s="2" t="s">
        <v>4974</v>
      </c>
      <c r="BI211" s="2"/>
      <c r="BJ211" s="2" t="s">
        <v>4975</v>
      </c>
      <c r="BK211" s="2" t="s">
        <v>4975</v>
      </c>
      <c r="BL211" s="2" t="s">
        <v>4975</v>
      </c>
      <c r="BM211" s="2"/>
      <c r="BN211" s="2"/>
      <c r="BO211" s="2"/>
      <c r="BP211" s="2"/>
      <c r="BQ211" s="2"/>
      <c r="BR211" s="2"/>
      <c r="BS211" s="2"/>
      <c r="BT211" s="2"/>
      <c r="BU211" s="2"/>
      <c r="BV211" s="2"/>
      <c r="BW211" s="2"/>
      <c r="BX211" s="2"/>
      <c r="BY211" s="2"/>
      <c r="BZ211" s="2"/>
      <c r="CA211" s="2"/>
      <c r="CB211" s="2"/>
      <c r="CC211" s="2" t="s">
        <v>243</v>
      </c>
      <c r="CD211" s="2" t="str">
        <f>HYPERLINK("https://patentscout.innography.com/share/uK9aYi8I8avVxLyWo-vDOg%3D%3D", "Innography Link")</f>
        <v>Innography Link</v>
      </c>
      <c r="CE211" s="2"/>
      <c r="CF211" s="2"/>
      <c r="CG211" s="2"/>
      <c r="CH211" s="2"/>
      <c r="CI211" s="2"/>
      <c r="CK211" s="2" t="s">
        <v>4976</v>
      </c>
      <c r="CL211" s="2" t="s">
        <v>371</v>
      </c>
      <c r="CM211" s="2" t="s">
        <v>497</v>
      </c>
      <c r="CN211" s="2" t="s">
        <v>4977</v>
      </c>
      <c r="CO211" s="2" t="s">
        <v>4978</v>
      </c>
    </row>
    <row r="212" spans="1:98" ht="152" customHeight="1" x14ac:dyDescent="0.45">
      <c r="A212" s="2">
        <v>0</v>
      </c>
      <c r="B212" s="2">
        <v>7</v>
      </c>
      <c r="C212" s="2" t="s">
        <v>4979</v>
      </c>
      <c r="D212" s="2"/>
      <c r="E212" s="2"/>
      <c r="F212" s="2" t="s">
        <v>887</v>
      </c>
      <c r="G212" s="2" t="s">
        <v>887</v>
      </c>
      <c r="H212" s="2" t="s">
        <v>2715</v>
      </c>
      <c r="I212" s="2" t="s">
        <v>2715</v>
      </c>
      <c r="J212" s="2" t="s">
        <v>2716</v>
      </c>
      <c r="K212" s="2" t="s">
        <v>887</v>
      </c>
      <c r="L212" s="2" t="s">
        <v>887</v>
      </c>
      <c r="M212" s="2" t="s">
        <v>4980</v>
      </c>
      <c r="N212" s="2" t="s">
        <v>4981</v>
      </c>
      <c r="O212" s="2"/>
      <c r="P212" s="2" t="s">
        <v>2720</v>
      </c>
      <c r="Q212" s="2" t="s">
        <v>2720</v>
      </c>
      <c r="R212" s="2" t="s">
        <v>2721</v>
      </c>
      <c r="S212" s="2" t="s">
        <v>2720</v>
      </c>
      <c r="T212" s="2">
        <v>78</v>
      </c>
      <c r="U212" s="2">
        <v>7</v>
      </c>
      <c r="V212" s="2" t="s">
        <v>4982</v>
      </c>
      <c r="W212" s="2"/>
      <c r="X212" s="2"/>
      <c r="Y212" s="2"/>
      <c r="Z212" s="2" t="s">
        <v>4983</v>
      </c>
      <c r="AA212" s="2" t="s">
        <v>4984</v>
      </c>
      <c r="AB212" s="2">
        <v>11</v>
      </c>
      <c r="AC212" s="2" t="s">
        <v>235</v>
      </c>
      <c r="AD212" s="2" t="s">
        <v>2725</v>
      </c>
      <c r="AE212" s="2">
        <v>256</v>
      </c>
      <c r="AF212" s="2" t="s">
        <v>141</v>
      </c>
      <c r="AG212" s="2"/>
      <c r="AH212" s="2"/>
      <c r="AI212" s="2"/>
      <c r="AJ212" s="2"/>
      <c r="AK212" s="2" t="s">
        <v>217</v>
      </c>
      <c r="AL212" s="2" t="s">
        <v>298</v>
      </c>
      <c r="AM212" s="2" t="s">
        <v>298</v>
      </c>
      <c r="AN212" s="2" t="s">
        <v>359</v>
      </c>
      <c r="AO212" s="2" t="s">
        <v>4985</v>
      </c>
      <c r="AP212" s="2">
        <v>705348000</v>
      </c>
      <c r="AQ212" s="2">
        <v>705348000</v>
      </c>
      <c r="AR212" s="2" t="s">
        <v>253</v>
      </c>
      <c r="AS212" s="2">
        <v>84042379</v>
      </c>
      <c r="AT212" s="2" t="s">
        <v>4986</v>
      </c>
      <c r="AU212" s="2"/>
      <c r="AV212" s="2"/>
      <c r="AW212" s="2" t="s">
        <v>336</v>
      </c>
      <c r="AX212" s="2">
        <v>92598875</v>
      </c>
      <c r="AY212" s="2" t="s">
        <v>4987</v>
      </c>
      <c r="AZ212" s="2" t="s">
        <v>4988</v>
      </c>
      <c r="BA212" s="2" t="s">
        <v>2730</v>
      </c>
      <c r="BB212" s="2">
        <v>0</v>
      </c>
      <c r="BC212" s="3" t="str">
        <f>HYPERLINK("https://patentscout.innography.com/share/2ROH4GBAHV4jUBrmDYkvGw%3D%3D","KR102461485")</f>
        <v>KR102461485</v>
      </c>
      <c r="BD212" s="2" t="s">
        <v>4989</v>
      </c>
      <c r="BE212" s="2" t="s">
        <v>4990</v>
      </c>
      <c r="BF212" s="2" t="s">
        <v>4991</v>
      </c>
      <c r="BG212" s="2" t="str">
        <f>HYPERLINK("https://patentscout.innography.com/share/2ROH4GBAHV4jUBrmDYkvGw%3D%3D/download", "Download PDF")</f>
        <v>Download PDF</v>
      </c>
      <c r="BH212" s="2" t="s">
        <v>4992</v>
      </c>
      <c r="BI212" s="2"/>
      <c r="BJ212" s="2" t="s">
        <v>4993</v>
      </c>
      <c r="BK212" s="2" t="s">
        <v>4993</v>
      </c>
      <c r="BL212" s="2" t="s">
        <v>4993</v>
      </c>
      <c r="BM212" s="2"/>
      <c r="BN212" s="2"/>
      <c r="BO212" s="2"/>
      <c r="BP212" s="2"/>
      <c r="BQ212" s="2"/>
      <c r="BR212" s="2"/>
      <c r="BS212" s="2"/>
      <c r="BT212" s="2"/>
      <c r="BU212" s="2"/>
      <c r="BV212" s="2"/>
      <c r="BW212" s="2"/>
      <c r="BX212" s="2"/>
      <c r="BY212" s="2"/>
      <c r="BZ212" s="2"/>
      <c r="CA212" s="2"/>
      <c r="CB212" s="2"/>
      <c r="CC212" s="2" t="s">
        <v>243</v>
      </c>
      <c r="CD212" s="2" t="str">
        <f>HYPERLINK("https://patentscout.innography.com/share/2ROH4GBAHV4jUBrmDYkvGw%3D%3D", "Innography Link")</f>
        <v>Innography Link</v>
      </c>
      <c r="CE212" s="2"/>
      <c r="CF212" s="2"/>
      <c r="CG212" s="2"/>
      <c r="CH212" s="2"/>
      <c r="CI212" s="2"/>
      <c r="CK212" s="2" t="s">
        <v>4994</v>
      </c>
      <c r="CL212" s="2" t="s">
        <v>780</v>
      </c>
      <c r="CM212" s="2" t="s">
        <v>444</v>
      </c>
      <c r="CN212" s="2" t="s">
        <v>371</v>
      </c>
      <c r="CO212" s="2" t="s">
        <v>497</v>
      </c>
    </row>
    <row r="213" spans="1:98" ht="30" customHeight="1" x14ac:dyDescent="0.45">
      <c r="A213" s="2">
        <v>0</v>
      </c>
      <c r="B213" s="2">
        <v>0</v>
      </c>
      <c r="C213" s="2"/>
      <c r="D213" s="2"/>
      <c r="E213" s="2" t="s">
        <v>1916</v>
      </c>
      <c r="F213" s="2"/>
      <c r="G213" s="2" t="s">
        <v>1916</v>
      </c>
      <c r="H213" s="2" t="s">
        <v>1975</v>
      </c>
      <c r="I213" s="2" t="s">
        <v>1975</v>
      </c>
      <c r="J213" s="2" t="s">
        <v>1976</v>
      </c>
      <c r="K213" s="2" t="s">
        <v>1916</v>
      </c>
      <c r="L213" s="2" t="s">
        <v>1916</v>
      </c>
      <c r="M213" s="2" t="s">
        <v>4995</v>
      </c>
      <c r="N213" s="2" t="s">
        <v>4996</v>
      </c>
      <c r="O213" s="2" t="s">
        <v>4997</v>
      </c>
      <c r="P213" s="2" t="s">
        <v>4998</v>
      </c>
      <c r="Q213" s="2"/>
      <c r="R213" s="2"/>
      <c r="S213" s="2" t="s">
        <v>4998</v>
      </c>
      <c r="T213" s="2">
        <v>78</v>
      </c>
      <c r="U213" s="2">
        <v>3</v>
      </c>
      <c r="V213" s="2" t="s">
        <v>4999</v>
      </c>
      <c r="W213" s="2"/>
      <c r="X213" s="2"/>
      <c r="Y213" s="2"/>
      <c r="Z213" s="2" t="s">
        <v>5000</v>
      </c>
      <c r="AA213" s="2" t="s">
        <v>5000</v>
      </c>
      <c r="AB213" s="2">
        <v>1</v>
      </c>
      <c r="AC213" s="2" t="s">
        <v>214</v>
      </c>
      <c r="AD213" s="2" t="s">
        <v>4998</v>
      </c>
      <c r="AE213" s="2">
        <v>34</v>
      </c>
      <c r="AF213" s="2" t="s">
        <v>141</v>
      </c>
      <c r="AG213" s="2"/>
      <c r="AH213" s="2"/>
      <c r="AI213" s="2"/>
      <c r="AJ213" s="2"/>
      <c r="AK213" s="2" t="s">
        <v>217</v>
      </c>
      <c r="AL213" s="2" t="s">
        <v>298</v>
      </c>
      <c r="AM213" s="2" t="s">
        <v>5001</v>
      </c>
      <c r="AN213" s="2" t="s">
        <v>359</v>
      </c>
      <c r="AO213" s="2" t="s">
        <v>5002</v>
      </c>
      <c r="AP213" s="2">
        <v>705348000</v>
      </c>
      <c r="AQ213" s="2">
        <v>705348000</v>
      </c>
      <c r="AR213" s="2" t="s">
        <v>253</v>
      </c>
      <c r="AS213" s="2">
        <v>78609746</v>
      </c>
      <c r="AT213" s="2" t="s">
        <v>5003</v>
      </c>
      <c r="AU213" s="2"/>
      <c r="AV213" s="2"/>
      <c r="AW213" s="2" t="s">
        <v>219</v>
      </c>
      <c r="AX213" s="2">
        <v>90449503</v>
      </c>
      <c r="AY213" s="2" t="s">
        <v>5004</v>
      </c>
      <c r="AZ213" s="2" t="s">
        <v>5005</v>
      </c>
      <c r="BA213" s="2" t="s">
        <v>1990</v>
      </c>
      <c r="BB213" s="2">
        <v>0</v>
      </c>
      <c r="BC213" s="3" t="str">
        <f>HYPERLINK("https://patentscout.innography.com/share/zs6iuor9Hgl1nEC5PYOhBw%3D%3D","KR20210120933")</f>
        <v>KR20210120933</v>
      </c>
      <c r="BD213" s="2" t="s">
        <v>5006</v>
      </c>
      <c r="BE213" s="2"/>
      <c r="BF213" s="2" t="s">
        <v>5007</v>
      </c>
      <c r="BG213" s="2" t="str">
        <f>HYPERLINK("https://patentscout.innography.com/share/zs6iuor9Hgl1nEC5PYOhBw%3D%3D/download", "Download PDF")</f>
        <v>Download PDF</v>
      </c>
      <c r="BH213" s="2" t="s">
        <v>5008</v>
      </c>
      <c r="BI213" s="2"/>
      <c r="BJ213" s="2" t="s">
        <v>5004</v>
      </c>
      <c r="BK213" s="2" t="s">
        <v>5004</v>
      </c>
      <c r="BL213" s="2" t="s">
        <v>5004</v>
      </c>
      <c r="BM213" s="2"/>
      <c r="BN213" s="2"/>
      <c r="BO213" s="2"/>
      <c r="BP213" s="2"/>
      <c r="BQ213" s="2"/>
      <c r="BR213" s="2"/>
      <c r="BS213" s="2"/>
      <c r="BT213" s="2"/>
      <c r="BU213" s="2"/>
      <c r="BV213" s="2"/>
      <c r="BW213" s="2"/>
      <c r="BX213" s="2"/>
      <c r="BY213" s="2"/>
      <c r="BZ213" s="2"/>
      <c r="CA213" s="2"/>
      <c r="CB213" s="2"/>
      <c r="CC213" s="2" t="s">
        <v>228</v>
      </c>
      <c r="CD213" s="2" t="str">
        <f>HYPERLINK("https://patentscout.innography.com/share/zs6iuor9Hgl1nEC5PYOhBw%3D%3D", "Innography Link")</f>
        <v>Innography Link</v>
      </c>
      <c r="CE213" s="2"/>
      <c r="CF213" s="2"/>
      <c r="CG213" s="2"/>
      <c r="CH213" s="2"/>
      <c r="CI213" s="2"/>
      <c r="CK213" s="2" t="s">
        <v>5009</v>
      </c>
    </row>
    <row r="214" spans="1:98" ht="152" customHeight="1" x14ac:dyDescent="0.45">
      <c r="A214" s="2">
        <v>0</v>
      </c>
      <c r="B214" s="2">
        <v>3</v>
      </c>
      <c r="C214" s="2" t="s">
        <v>5010</v>
      </c>
      <c r="D214" s="2"/>
      <c r="E214" s="2"/>
      <c r="F214" s="2" t="s">
        <v>1719</v>
      </c>
      <c r="G214" s="2" t="s">
        <v>1719</v>
      </c>
      <c r="H214" s="2" t="s">
        <v>5011</v>
      </c>
      <c r="I214" s="2" t="s">
        <v>5011</v>
      </c>
      <c r="J214" s="2" t="s">
        <v>5012</v>
      </c>
      <c r="K214" s="2" t="s">
        <v>1719</v>
      </c>
      <c r="L214" s="2" t="s">
        <v>1719</v>
      </c>
      <c r="M214" s="2" t="s">
        <v>5013</v>
      </c>
      <c r="N214" s="2" t="s">
        <v>5014</v>
      </c>
      <c r="O214" s="2"/>
      <c r="P214" s="2" t="s">
        <v>5015</v>
      </c>
      <c r="Q214" s="2" t="s">
        <v>5015</v>
      </c>
      <c r="R214" s="2" t="s">
        <v>5016</v>
      </c>
      <c r="S214" s="2" t="s">
        <v>5015</v>
      </c>
      <c r="T214" s="2">
        <v>78</v>
      </c>
      <c r="U214" s="2">
        <v>4</v>
      </c>
      <c r="V214" s="2" t="s">
        <v>5017</v>
      </c>
      <c r="W214" s="2"/>
      <c r="X214" s="2"/>
      <c r="Y214" s="2"/>
      <c r="Z214" s="2" t="s">
        <v>5018</v>
      </c>
      <c r="AA214" s="2" t="s">
        <v>5019</v>
      </c>
      <c r="AB214" s="2">
        <v>5</v>
      </c>
      <c r="AC214" s="2" t="s">
        <v>235</v>
      </c>
      <c r="AD214" s="2" t="s">
        <v>5020</v>
      </c>
      <c r="AE214" s="2">
        <v>345</v>
      </c>
      <c r="AF214" s="2" t="s">
        <v>141</v>
      </c>
      <c r="AG214" s="2"/>
      <c r="AH214" s="2"/>
      <c r="AI214" s="2"/>
      <c r="AJ214" s="2"/>
      <c r="AK214" s="2" t="s">
        <v>217</v>
      </c>
      <c r="AL214" s="2" t="s">
        <v>1510</v>
      </c>
      <c r="AM214" s="2" t="s">
        <v>1510</v>
      </c>
      <c r="AN214" s="2" t="s">
        <v>1511</v>
      </c>
      <c r="AO214" s="2" t="s">
        <v>5021</v>
      </c>
      <c r="AP214" s="2">
        <v>705348000</v>
      </c>
      <c r="AQ214" s="2">
        <v>705348000</v>
      </c>
      <c r="AR214" s="2" t="s">
        <v>253</v>
      </c>
      <c r="AS214" s="2">
        <v>81395555</v>
      </c>
      <c r="AT214" s="2" t="s">
        <v>5022</v>
      </c>
      <c r="AU214" s="2"/>
      <c r="AV214" s="2"/>
      <c r="AW214" s="2" t="s">
        <v>336</v>
      </c>
      <c r="AX214" s="2">
        <v>87873737</v>
      </c>
      <c r="AY214" s="2" t="s">
        <v>5023</v>
      </c>
      <c r="AZ214" s="2" t="s">
        <v>5024</v>
      </c>
      <c r="BA214" s="2" t="s">
        <v>5025</v>
      </c>
      <c r="BB214" s="2">
        <v>0</v>
      </c>
      <c r="BC214" s="3" t="str">
        <f>HYPERLINK("https://patentscout.innography.com/share/kd3kzxDuEMdEEx5ou8wYtg%3D%3D","KR102388735")</f>
        <v>KR102388735</v>
      </c>
      <c r="BD214" s="2" t="s">
        <v>5026</v>
      </c>
      <c r="BE214" s="2" t="s">
        <v>5027</v>
      </c>
      <c r="BF214" s="2" t="s">
        <v>5028</v>
      </c>
      <c r="BG214" s="2" t="str">
        <f>HYPERLINK("https://patentscout.innography.com/share/kd3kzxDuEMdEEx5ou8wYtg%3D%3D/download", "Download PDF")</f>
        <v>Download PDF</v>
      </c>
      <c r="BH214" s="2" t="s">
        <v>5029</v>
      </c>
      <c r="BI214" s="2"/>
      <c r="BJ214" s="2" t="s">
        <v>5030</v>
      </c>
      <c r="BK214" s="2" t="s">
        <v>5030</v>
      </c>
      <c r="BL214" s="2" t="s">
        <v>5030</v>
      </c>
      <c r="BM214" s="2"/>
      <c r="BN214" s="2"/>
      <c r="BO214" s="2"/>
      <c r="BP214" s="2"/>
      <c r="BQ214" s="2"/>
      <c r="BR214" s="2"/>
      <c r="BS214" s="2"/>
      <c r="BT214" s="2"/>
      <c r="BU214" s="2"/>
      <c r="BV214" s="2"/>
      <c r="BW214" s="2"/>
      <c r="BX214" s="2"/>
      <c r="BY214" s="2"/>
      <c r="BZ214" s="2"/>
      <c r="CA214" s="2"/>
      <c r="CB214" s="2"/>
      <c r="CC214" s="2" t="s">
        <v>243</v>
      </c>
      <c r="CD214" s="2" t="str">
        <f>HYPERLINK("https://patentscout.innography.com/share/kd3kzxDuEMdEEx5ou8wYtg%3D%3D", "Innography Link")</f>
        <v>Innography Link</v>
      </c>
      <c r="CE214" s="2"/>
      <c r="CF214" s="2"/>
      <c r="CG214" s="2"/>
      <c r="CH214" s="2"/>
      <c r="CI214" s="2"/>
      <c r="CK214" s="2" t="s">
        <v>5031</v>
      </c>
      <c r="CL214" s="2" t="s">
        <v>5032</v>
      </c>
    </row>
    <row r="215" spans="1:98" ht="152" customHeight="1" x14ac:dyDescent="0.45">
      <c r="A215" s="2">
        <v>0</v>
      </c>
      <c r="B215" s="2">
        <v>7</v>
      </c>
      <c r="C215" s="2" t="s">
        <v>5033</v>
      </c>
      <c r="D215" s="2"/>
      <c r="E215" s="2"/>
      <c r="F215" s="2" t="s">
        <v>2306</v>
      </c>
      <c r="G215" s="2" t="s">
        <v>2306</v>
      </c>
      <c r="H215" s="2" t="s">
        <v>5034</v>
      </c>
      <c r="I215" s="2" t="s">
        <v>5034</v>
      </c>
      <c r="J215" s="2" t="s">
        <v>5035</v>
      </c>
      <c r="K215" s="2" t="s">
        <v>2306</v>
      </c>
      <c r="L215" s="2" t="s">
        <v>2306</v>
      </c>
      <c r="M215" s="2" t="s">
        <v>5036</v>
      </c>
      <c r="N215" s="2" t="s">
        <v>5037</v>
      </c>
      <c r="O215" s="2"/>
      <c r="P215" s="2" t="s">
        <v>5038</v>
      </c>
      <c r="Q215" s="2" t="s">
        <v>5039</v>
      </c>
      <c r="R215" s="2" t="s">
        <v>5040</v>
      </c>
      <c r="S215" s="2" t="s">
        <v>5038</v>
      </c>
      <c r="T215" s="2">
        <v>78</v>
      </c>
      <c r="U215" s="2">
        <v>9</v>
      </c>
      <c r="V215" s="2" t="s">
        <v>5041</v>
      </c>
      <c r="W215" s="2"/>
      <c r="X215" s="2"/>
      <c r="Y215" s="2"/>
      <c r="Z215" s="2" t="s">
        <v>5042</v>
      </c>
      <c r="AA215" s="2" t="s">
        <v>5043</v>
      </c>
      <c r="AB215" s="2">
        <v>14</v>
      </c>
      <c r="AC215" s="2" t="s">
        <v>235</v>
      </c>
      <c r="AD215" s="2" t="s">
        <v>5044</v>
      </c>
      <c r="AE215" s="2">
        <v>3081</v>
      </c>
      <c r="AF215" s="2" t="s">
        <v>141</v>
      </c>
      <c r="AG215" s="2"/>
      <c r="AH215" s="2"/>
      <c r="AI215" s="2"/>
      <c r="AJ215" s="2"/>
      <c r="AK215" s="2" t="s">
        <v>217</v>
      </c>
      <c r="AL215" s="2" t="s">
        <v>298</v>
      </c>
      <c r="AM215" s="2" t="s">
        <v>298</v>
      </c>
      <c r="AN215" s="2" t="s">
        <v>359</v>
      </c>
      <c r="AO215" s="2" t="s">
        <v>5045</v>
      </c>
      <c r="AP215" s="2">
        <v>705348000</v>
      </c>
      <c r="AQ215" s="2">
        <v>705348000</v>
      </c>
      <c r="AR215" s="2" t="s">
        <v>253</v>
      </c>
      <c r="AS215" s="2">
        <v>83446207</v>
      </c>
      <c r="AT215" s="2" t="s">
        <v>5046</v>
      </c>
      <c r="AU215" s="2"/>
      <c r="AV215" s="2"/>
      <c r="AW215" s="2" t="s">
        <v>336</v>
      </c>
      <c r="AX215" s="2">
        <v>91255839</v>
      </c>
      <c r="AY215" s="2" t="s">
        <v>5047</v>
      </c>
      <c r="AZ215" s="2" t="s">
        <v>5048</v>
      </c>
      <c r="BA215" s="2" t="s">
        <v>5049</v>
      </c>
      <c r="BB215" s="2">
        <v>0</v>
      </c>
      <c r="BC215" s="3" t="str">
        <f>HYPERLINK("https://patentscout.innography.com/share/u3jVgA5wfetLE0GrMJ-v9g%3D%3D","KR102446974")</f>
        <v>KR102446974</v>
      </c>
      <c r="BD215" s="2" t="s">
        <v>5050</v>
      </c>
      <c r="BE215" s="2"/>
      <c r="BF215" s="2" t="s">
        <v>5051</v>
      </c>
      <c r="BG215" s="2" t="str">
        <f>HYPERLINK("https://patentscout.innography.com/share/u3jVgA5wfetLE0GrMJ-v9g%3D%3D/download", "Download PDF")</f>
        <v>Download PDF</v>
      </c>
      <c r="BH215" s="2" t="s">
        <v>5052</v>
      </c>
      <c r="BI215" s="2"/>
      <c r="BJ215" s="2" t="s">
        <v>5053</v>
      </c>
      <c r="BK215" s="2" t="s">
        <v>5053</v>
      </c>
      <c r="BL215" s="2" t="s">
        <v>5053</v>
      </c>
      <c r="BM215" s="2"/>
      <c r="BN215" s="2"/>
      <c r="BO215" s="2"/>
      <c r="BP215" s="2"/>
      <c r="BQ215" s="2"/>
      <c r="BR215" s="2"/>
      <c r="BS215" s="2"/>
      <c r="BT215" s="2"/>
      <c r="BU215" s="2"/>
      <c r="BV215" s="2"/>
      <c r="BW215" s="2"/>
      <c r="BX215" s="2"/>
      <c r="BY215" s="2"/>
      <c r="BZ215" s="2"/>
      <c r="CA215" s="2"/>
      <c r="CB215" s="2"/>
      <c r="CC215" s="2" t="s">
        <v>243</v>
      </c>
      <c r="CD215" s="2" t="str">
        <f>HYPERLINK("https://patentscout.innography.com/share/u3jVgA5wfetLE0GrMJ-v9g%3D%3D", "Innography Link")</f>
        <v>Innography Link</v>
      </c>
      <c r="CE215" s="2"/>
      <c r="CF215" s="2"/>
      <c r="CG215" s="2"/>
      <c r="CH215" s="2"/>
      <c r="CI215" s="2"/>
      <c r="CK215" s="2" t="s">
        <v>5054</v>
      </c>
      <c r="CL215" s="2" t="s">
        <v>780</v>
      </c>
      <c r="CM215" s="2" t="s">
        <v>444</v>
      </c>
      <c r="CN215" s="2" t="s">
        <v>371</v>
      </c>
      <c r="CO215" s="2" t="s">
        <v>497</v>
      </c>
      <c r="CP215" s="2" t="s">
        <v>601</v>
      </c>
      <c r="CQ215" s="2" t="s">
        <v>854</v>
      </c>
      <c r="CR215" s="2" t="s">
        <v>602</v>
      </c>
      <c r="CS215" s="2" t="s">
        <v>372</v>
      </c>
      <c r="CT215" s="2" t="s">
        <v>782</v>
      </c>
    </row>
    <row r="216" spans="1:98" ht="30" customHeight="1" x14ac:dyDescent="0.45">
      <c r="A216" s="2">
        <v>0</v>
      </c>
      <c r="B216" s="2">
        <v>0</v>
      </c>
      <c r="C216" s="2"/>
      <c r="D216" s="2"/>
      <c r="E216" s="2" t="s">
        <v>1025</v>
      </c>
      <c r="F216" s="2"/>
      <c r="G216" s="2" t="s">
        <v>1025</v>
      </c>
      <c r="H216" s="2" t="s">
        <v>5055</v>
      </c>
      <c r="I216" s="2" t="s">
        <v>5055</v>
      </c>
      <c r="J216" s="2" t="s">
        <v>5056</v>
      </c>
      <c r="K216" s="2" t="s">
        <v>1025</v>
      </c>
      <c r="L216" s="2" t="s">
        <v>1025</v>
      </c>
      <c r="M216" s="2" t="s">
        <v>5057</v>
      </c>
      <c r="N216" s="2" t="s">
        <v>5058</v>
      </c>
      <c r="O216" s="2"/>
      <c r="P216" s="2" t="s">
        <v>5059</v>
      </c>
      <c r="Q216" s="2" t="s">
        <v>5059</v>
      </c>
      <c r="R216" s="2" t="s">
        <v>5060</v>
      </c>
      <c r="S216" s="2" t="s">
        <v>5059</v>
      </c>
      <c r="T216" s="2">
        <v>78</v>
      </c>
      <c r="U216" s="2">
        <v>4</v>
      </c>
      <c r="V216" s="2" t="s">
        <v>5061</v>
      </c>
      <c r="W216" s="2"/>
      <c r="X216" s="2"/>
      <c r="Y216" s="2"/>
      <c r="Z216" s="2" t="s">
        <v>5062</v>
      </c>
      <c r="AA216" s="2" t="s">
        <v>5063</v>
      </c>
      <c r="AB216" s="2">
        <v>3</v>
      </c>
      <c r="AC216" s="2" t="s">
        <v>5064</v>
      </c>
      <c r="AD216" s="2" t="s">
        <v>5065</v>
      </c>
      <c r="AE216" s="2">
        <v>59</v>
      </c>
      <c r="AF216" s="2" t="s">
        <v>141</v>
      </c>
      <c r="AG216" s="2"/>
      <c r="AH216" s="2"/>
      <c r="AI216" s="2"/>
      <c r="AJ216" s="2"/>
      <c r="AK216" s="2" t="s">
        <v>5066</v>
      </c>
      <c r="AL216" s="2" t="s">
        <v>5067</v>
      </c>
      <c r="AM216" s="2" t="s">
        <v>5067</v>
      </c>
      <c r="AN216" s="2" t="s">
        <v>5068</v>
      </c>
      <c r="AO216" s="2" t="s">
        <v>5068</v>
      </c>
      <c r="AP216" s="2">
        <v>713340000</v>
      </c>
      <c r="AQ216" s="2">
        <v>713340000</v>
      </c>
      <c r="AR216" s="2" t="s">
        <v>253</v>
      </c>
      <c r="AS216" s="2">
        <v>84084307</v>
      </c>
      <c r="AT216" s="2" t="s">
        <v>5069</v>
      </c>
      <c r="AU216" s="2"/>
      <c r="AV216" s="2"/>
      <c r="AW216" s="2" t="s">
        <v>5070</v>
      </c>
      <c r="AX216" s="2">
        <v>92595591</v>
      </c>
      <c r="AY216" s="2" t="s">
        <v>5071</v>
      </c>
      <c r="AZ216" s="2" t="s">
        <v>5072</v>
      </c>
      <c r="BA216" s="2" t="s">
        <v>5073</v>
      </c>
      <c r="BB216" s="2">
        <v>0</v>
      </c>
      <c r="BC216" s="3" t="str">
        <f>HYPERLINK("https://patentscout.innography.com/share/5ch2rc4LBTYtcMzweQgrZA%3D%3D","TR2022010198")</f>
        <v>TR2022010198</v>
      </c>
      <c r="BD216" s="2" t="s">
        <v>5074</v>
      </c>
      <c r="BE216" s="2"/>
      <c r="BF216" s="2" t="s">
        <v>5075</v>
      </c>
      <c r="BG216" s="2" t="str">
        <f>HYPERLINK("https://patentscout.innography.com/share/5ch2rc4LBTYtcMzweQgrZA%3D%3D/download", "Download PDF")</f>
        <v>Download PDF</v>
      </c>
      <c r="BH216" s="2" t="s">
        <v>5076</v>
      </c>
      <c r="BI216" s="2"/>
      <c r="BJ216" s="2" t="s">
        <v>5071</v>
      </c>
      <c r="BK216" s="2" t="s">
        <v>5071</v>
      </c>
      <c r="BL216" s="2" t="s">
        <v>5071</v>
      </c>
      <c r="BM216" s="2"/>
      <c r="BN216" s="2"/>
      <c r="BO216" s="2"/>
      <c r="BP216" s="2"/>
      <c r="BQ216" s="2"/>
      <c r="BR216" s="2"/>
      <c r="BS216" s="2"/>
      <c r="BT216" s="2"/>
      <c r="BU216" s="2"/>
      <c r="BV216" s="2"/>
      <c r="BW216" s="2"/>
      <c r="BX216" s="2"/>
      <c r="BY216" s="2"/>
      <c r="BZ216" s="2"/>
      <c r="CA216" s="2"/>
      <c r="CB216" s="2"/>
      <c r="CC216" s="2" t="s">
        <v>5077</v>
      </c>
      <c r="CD216" s="2" t="str">
        <f>HYPERLINK("https://patentscout.innography.com/share/5ch2rc4LBTYtcMzweQgrZA%3D%3D", "Innography Link")</f>
        <v>Innography Link</v>
      </c>
      <c r="CE216" s="2"/>
      <c r="CF216" s="2"/>
      <c r="CG216" s="2"/>
      <c r="CH216" s="2"/>
      <c r="CI216" s="2"/>
      <c r="CK216" s="2" t="s">
        <v>5078</v>
      </c>
    </row>
    <row r="217" spans="1:98" ht="152" customHeight="1" x14ac:dyDescent="0.45">
      <c r="A217" s="2">
        <v>0</v>
      </c>
      <c r="B217" s="2">
        <v>0</v>
      </c>
      <c r="C217" s="2"/>
      <c r="D217" s="2"/>
      <c r="E217" s="2" t="s">
        <v>2080</v>
      </c>
      <c r="F217" s="2"/>
      <c r="G217" s="2" t="s">
        <v>2080</v>
      </c>
      <c r="H217" s="2" t="s">
        <v>2081</v>
      </c>
      <c r="I217" s="2" t="s">
        <v>2081</v>
      </c>
      <c r="J217" s="2" t="s">
        <v>2082</v>
      </c>
      <c r="K217" s="2" t="s">
        <v>2080</v>
      </c>
      <c r="L217" s="2" t="s">
        <v>2080</v>
      </c>
      <c r="M217" s="2" t="s">
        <v>5079</v>
      </c>
      <c r="N217" s="2" t="s">
        <v>5080</v>
      </c>
      <c r="O217" s="2" t="s">
        <v>5081</v>
      </c>
      <c r="P217" s="2" t="s">
        <v>5082</v>
      </c>
      <c r="Q217" s="2"/>
      <c r="R217" s="2"/>
      <c r="S217" s="2" t="s">
        <v>5082</v>
      </c>
      <c r="T217" s="2">
        <v>78</v>
      </c>
      <c r="U217" s="2">
        <v>3</v>
      </c>
      <c r="V217" s="2" t="s">
        <v>5083</v>
      </c>
      <c r="W217" s="2"/>
      <c r="X217" s="2"/>
      <c r="Y217" s="2"/>
      <c r="Z217" s="2" t="s">
        <v>5084</v>
      </c>
      <c r="AA217" s="2" t="s">
        <v>5085</v>
      </c>
      <c r="AB217" s="2">
        <v>1</v>
      </c>
      <c r="AC217" s="2" t="s">
        <v>214</v>
      </c>
      <c r="AD217" s="2" t="s">
        <v>5082</v>
      </c>
      <c r="AE217" s="2">
        <v>190</v>
      </c>
      <c r="AF217" s="2" t="s">
        <v>141</v>
      </c>
      <c r="AG217" s="2"/>
      <c r="AH217" s="2"/>
      <c r="AI217" s="2"/>
      <c r="AJ217" s="2"/>
      <c r="AK217" s="2" t="s">
        <v>217</v>
      </c>
      <c r="AL217" s="2" t="s">
        <v>2089</v>
      </c>
      <c r="AM217" s="2" t="s">
        <v>5086</v>
      </c>
      <c r="AN217" s="2" t="s">
        <v>539</v>
      </c>
      <c r="AO217" s="2" t="s">
        <v>5087</v>
      </c>
      <c r="AP217" s="2">
        <v>705348000</v>
      </c>
      <c r="AQ217" s="2">
        <v>705348000</v>
      </c>
      <c r="AR217" s="2" t="s">
        <v>253</v>
      </c>
      <c r="AS217" s="2">
        <v>79165712</v>
      </c>
      <c r="AT217" s="2" t="s">
        <v>5088</v>
      </c>
      <c r="AU217" s="2"/>
      <c r="AV217" s="2"/>
      <c r="AW217" s="2" t="s">
        <v>219</v>
      </c>
      <c r="AX217" s="2">
        <v>83959150</v>
      </c>
      <c r="AY217" s="2" t="s">
        <v>5089</v>
      </c>
      <c r="AZ217" s="2" t="s">
        <v>5090</v>
      </c>
      <c r="BA217" s="2" t="s">
        <v>2095</v>
      </c>
      <c r="BB217" s="2">
        <v>0</v>
      </c>
      <c r="BC217" s="3" t="str">
        <f>HYPERLINK("https://patentscout.innography.com/share/id8g1C-ZMQkJI2yUv8Jrww%3D%3D","KR20210154913")</f>
        <v>KR20210154913</v>
      </c>
      <c r="BD217" s="2" t="s">
        <v>5091</v>
      </c>
      <c r="BE217" s="2"/>
      <c r="BF217" s="2" t="s">
        <v>5092</v>
      </c>
      <c r="BG217" s="2" t="str">
        <f>HYPERLINK("https://patentscout.innography.com/share/id8g1C-ZMQkJI2yUv8Jrww%3D%3D/download", "Download PDF")</f>
        <v>Download PDF</v>
      </c>
      <c r="BH217" s="2" t="s">
        <v>5093</v>
      </c>
      <c r="BI217" s="2"/>
      <c r="BJ217" s="2" t="s">
        <v>5089</v>
      </c>
      <c r="BK217" s="2" t="s">
        <v>5089</v>
      </c>
      <c r="BL217" s="2" t="s">
        <v>5089</v>
      </c>
      <c r="BM217" s="2"/>
      <c r="BN217" s="2"/>
      <c r="BO217" s="2"/>
      <c r="BP217" s="2"/>
      <c r="BQ217" s="2"/>
      <c r="BR217" s="2"/>
      <c r="BS217" s="2"/>
      <c r="BT217" s="2"/>
      <c r="BU217" s="2"/>
      <c r="BV217" s="2"/>
      <c r="BW217" s="2"/>
      <c r="BX217" s="2"/>
      <c r="BY217" s="2"/>
      <c r="BZ217" s="2"/>
      <c r="CA217" s="2"/>
      <c r="CB217" s="2"/>
      <c r="CC217" s="2" t="s">
        <v>228</v>
      </c>
      <c r="CD217" s="2" t="str">
        <f>HYPERLINK("https://patentscout.innography.com/share/id8g1C-ZMQkJI2yUv8Jrww%3D%3D", "Innography Link")</f>
        <v>Innography Link</v>
      </c>
      <c r="CE217" s="2"/>
      <c r="CF217" s="2"/>
      <c r="CG217" s="2"/>
      <c r="CH217" s="2"/>
      <c r="CI217" s="2"/>
      <c r="CK217" s="2" t="s">
        <v>5094</v>
      </c>
    </row>
    <row r="218" spans="1:98" ht="152" customHeight="1" x14ac:dyDescent="0.45">
      <c r="A218" s="2">
        <v>0</v>
      </c>
      <c r="B218" s="2">
        <v>0</v>
      </c>
      <c r="C218" s="2"/>
      <c r="D218" s="2"/>
      <c r="E218" s="2" t="s">
        <v>1500</v>
      </c>
      <c r="F218" s="2"/>
      <c r="G218" s="2" t="s">
        <v>1500</v>
      </c>
      <c r="H218" s="2" t="s">
        <v>5095</v>
      </c>
      <c r="I218" s="2" t="s">
        <v>5096</v>
      </c>
      <c r="J218" s="2" t="s">
        <v>5097</v>
      </c>
      <c r="K218" s="2" t="s">
        <v>1500</v>
      </c>
      <c r="L218" s="2" t="s">
        <v>5098</v>
      </c>
      <c r="M218" s="2" t="s">
        <v>5099</v>
      </c>
      <c r="N218" s="2" t="s">
        <v>5100</v>
      </c>
      <c r="O218" s="2" t="s">
        <v>5101</v>
      </c>
      <c r="P218" s="2" t="s">
        <v>5102</v>
      </c>
      <c r="Q218" s="2" t="s">
        <v>5102</v>
      </c>
      <c r="R218" s="2" t="s">
        <v>5103</v>
      </c>
      <c r="S218" s="2" t="s">
        <v>5102</v>
      </c>
      <c r="T218" s="2">
        <v>78</v>
      </c>
      <c r="U218" s="2">
        <v>8</v>
      </c>
      <c r="V218" s="2" t="s">
        <v>5104</v>
      </c>
      <c r="W218" s="2" t="s">
        <v>533</v>
      </c>
      <c r="X218" s="2"/>
      <c r="Y218" s="2"/>
      <c r="Z218" s="2" t="s">
        <v>5105</v>
      </c>
      <c r="AA218" s="2" t="s">
        <v>5106</v>
      </c>
      <c r="AB218" s="2">
        <v>13</v>
      </c>
      <c r="AC218" s="2" t="s">
        <v>139</v>
      </c>
      <c r="AD218" s="2" t="s">
        <v>5107</v>
      </c>
      <c r="AE218" s="2">
        <v>140</v>
      </c>
      <c r="AF218" s="2" t="s">
        <v>141</v>
      </c>
      <c r="AG218" s="2"/>
      <c r="AH218" s="2"/>
      <c r="AI218" s="2"/>
      <c r="AJ218" s="2"/>
      <c r="AK218" s="2" t="s">
        <v>142</v>
      </c>
      <c r="AL218" s="2" t="s">
        <v>5108</v>
      </c>
      <c r="AM218" s="2" t="s">
        <v>5109</v>
      </c>
      <c r="AN218" s="2" t="s">
        <v>5110</v>
      </c>
      <c r="AO218" s="2" t="s">
        <v>5111</v>
      </c>
      <c r="AP218" s="2">
        <v>386223000</v>
      </c>
      <c r="AQ218" s="2">
        <v>386223000</v>
      </c>
      <c r="AR218" s="2" t="s">
        <v>253</v>
      </c>
      <c r="AS218" s="2">
        <v>83808818</v>
      </c>
      <c r="AT218" s="2" t="s">
        <v>5112</v>
      </c>
      <c r="AU218" s="2"/>
      <c r="AV218" s="2"/>
      <c r="AW218" s="2" t="s">
        <v>148</v>
      </c>
      <c r="AX218" s="2">
        <v>52873899</v>
      </c>
      <c r="AY218" s="2" t="s">
        <v>5113</v>
      </c>
      <c r="AZ218" s="2" t="s">
        <v>5114</v>
      </c>
      <c r="BA218" s="2" t="s">
        <v>5115</v>
      </c>
      <c r="BB218" s="2">
        <v>0</v>
      </c>
      <c r="BC218" s="3" t="str">
        <f>HYPERLINK("https://patentscout.innography.com/share/H-Pi9OOv_Pk5Yn_u8Xo8IA%3D%3D","US20220353455")</f>
        <v>US20220353455</v>
      </c>
      <c r="BD218" s="2" t="s">
        <v>5116</v>
      </c>
      <c r="BE218" s="2" t="s">
        <v>5117</v>
      </c>
      <c r="BF218" s="2" t="s">
        <v>5118</v>
      </c>
      <c r="BG218" s="2" t="str">
        <f>HYPERLINK("https://patentscout.innography.com/share/H-Pi9OOv_Pk5Yn_u8Xo8IA%3D%3D/download", "Download PDF")</f>
        <v>Download PDF</v>
      </c>
      <c r="BH218" s="2" t="s">
        <v>5119</v>
      </c>
      <c r="BI218" s="2"/>
      <c r="BJ218" s="2" t="s">
        <v>5120</v>
      </c>
      <c r="BK218" s="2" t="s">
        <v>5120</v>
      </c>
      <c r="BL218" s="2" t="s">
        <v>5121</v>
      </c>
      <c r="BM218" s="2"/>
      <c r="BN218" s="2"/>
      <c r="BO218" s="2"/>
      <c r="BP218" s="2"/>
      <c r="BQ218" s="2"/>
      <c r="BR218" s="2"/>
      <c r="BS218" s="2"/>
      <c r="BT218" s="2"/>
      <c r="BU218" s="2"/>
      <c r="BV218" s="2"/>
      <c r="BW218" s="2"/>
      <c r="BX218" s="2"/>
      <c r="BY218" s="2"/>
      <c r="BZ218" s="2"/>
      <c r="CA218" s="2"/>
      <c r="CB218" s="2"/>
      <c r="CC218" s="2" t="s">
        <v>158</v>
      </c>
      <c r="CD218" s="2" t="str">
        <f>HYPERLINK("https://patentscout.innography.com/share/H-Pi9OOv_Pk5Yn_u8Xo8IA%3D%3D", "Innography Link")</f>
        <v>Innography Link</v>
      </c>
      <c r="CE218" s="2"/>
      <c r="CF218" s="2"/>
      <c r="CG218" s="2"/>
      <c r="CH218" s="2"/>
      <c r="CI218" s="2"/>
      <c r="CK218" s="2" t="s">
        <v>5122</v>
      </c>
    </row>
    <row r="219" spans="1:98" ht="152" customHeight="1" x14ac:dyDescent="0.45">
      <c r="A219" s="2">
        <v>0</v>
      </c>
      <c r="B219" s="2">
        <v>5</v>
      </c>
      <c r="C219" s="2" t="s">
        <v>5123</v>
      </c>
      <c r="D219" s="2"/>
      <c r="E219" s="2"/>
      <c r="F219" s="2" t="s">
        <v>1026</v>
      </c>
      <c r="G219" s="2" t="s">
        <v>1026</v>
      </c>
      <c r="H219" s="2" t="s">
        <v>2234</v>
      </c>
      <c r="I219" s="2" t="s">
        <v>2234</v>
      </c>
      <c r="J219" s="2" t="s">
        <v>2235</v>
      </c>
      <c r="K219" s="2" t="s">
        <v>1026</v>
      </c>
      <c r="L219" s="2" t="s">
        <v>1026</v>
      </c>
      <c r="M219" s="2" t="s">
        <v>5124</v>
      </c>
      <c r="N219" s="2" t="s">
        <v>5125</v>
      </c>
      <c r="O219" s="2"/>
      <c r="P219" s="2" t="s">
        <v>5126</v>
      </c>
      <c r="Q219" s="2" t="s">
        <v>5126</v>
      </c>
      <c r="R219" s="2" t="s">
        <v>5127</v>
      </c>
      <c r="S219" s="2" t="s">
        <v>5126</v>
      </c>
      <c r="T219" s="2">
        <v>78</v>
      </c>
      <c r="U219" s="2">
        <v>5</v>
      </c>
      <c r="V219" s="2" t="s">
        <v>5128</v>
      </c>
      <c r="W219" s="2"/>
      <c r="X219" s="2"/>
      <c r="Y219" s="2"/>
      <c r="Z219" s="2" t="s">
        <v>5129</v>
      </c>
      <c r="AA219" s="2" t="s">
        <v>5130</v>
      </c>
      <c r="AB219" s="2">
        <v>5</v>
      </c>
      <c r="AC219" s="2" t="s">
        <v>235</v>
      </c>
      <c r="AD219" s="2" t="s">
        <v>5131</v>
      </c>
      <c r="AE219" s="2">
        <v>468</v>
      </c>
      <c r="AF219" s="2" t="s">
        <v>141</v>
      </c>
      <c r="AG219" s="2"/>
      <c r="AH219" s="2"/>
      <c r="AI219" s="2"/>
      <c r="AJ219" s="2"/>
      <c r="AK219" s="2" t="s">
        <v>217</v>
      </c>
      <c r="AL219" s="2" t="s">
        <v>1373</v>
      </c>
      <c r="AM219" s="2" t="s">
        <v>1373</v>
      </c>
      <c r="AN219" s="2" t="s">
        <v>539</v>
      </c>
      <c r="AO219" s="2" t="s">
        <v>5132</v>
      </c>
      <c r="AP219" s="2">
        <v>705348000</v>
      </c>
      <c r="AQ219" s="2">
        <v>705348000</v>
      </c>
      <c r="AR219" s="2" t="s">
        <v>253</v>
      </c>
      <c r="AS219" s="2">
        <v>81590711</v>
      </c>
      <c r="AT219" s="2" t="s">
        <v>5133</v>
      </c>
      <c r="AU219" s="2"/>
      <c r="AV219" s="2"/>
      <c r="AW219" s="2" t="s">
        <v>336</v>
      </c>
      <c r="AX219" s="2">
        <v>87975848</v>
      </c>
      <c r="AY219" s="2" t="s">
        <v>5134</v>
      </c>
      <c r="AZ219" s="2" t="s">
        <v>5135</v>
      </c>
      <c r="BA219" s="2" t="s">
        <v>2248</v>
      </c>
      <c r="BB219" s="2">
        <v>0</v>
      </c>
      <c r="BC219" s="3" t="str">
        <f>HYPERLINK("https://patentscout.innography.com/share/0iv9ltWqTIL59ZO2nUScvQ%3D%3D","KR102396956")</f>
        <v>KR102396956</v>
      </c>
      <c r="BD219" s="2" t="s">
        <v>5136</v>
      </c>
      <c r="BE219" s="2" t="s">
        <v>5137</v>
      </c>
      <c r="BF219" s="2" t="s">
        <v>5138</v>
      </c>
      <c r="BG219" s="2" t="str">
        <f>HYPERLINK("https://patentscout.innography.com/share/0iv9ltWqTIL59ZO2nUScvQ%3D%3D/download", "Download PDF")</f>
        <v>Download PDF</v>
      </c>
      <c r="BH219" s="2" t="s">
        <v>5139</v>
      </c>
      <c r="BI219" s="2"/>
      <c r="BJ219" s="2" t="s">
        <v>5140</v>
      </c>
      <c r="BK219" s="2" t="s">
        <v>5140</v>
      </c>
      <c r="BL219" s="2" t="s">
        <v>5140</v>
      </c>
      <c r="BM219" s="2"/>
      <c r="BN219" s="2"/>
      <c r="BO219" s="2"/>
      <c r="BP219" s="2"/>
      <c r="BQ219" s="2"/>
      <c r="BR219" s="2"/>
      <c r="BS219" s="2"/>
      <c r="BT219" s="2"/>
      <c r="BU219" s="2"/>
      <c r="BV219" s="2"/>
      <c r="BW219" s="2"/>
      <c r="BX219" s="2"/>
      <c r="BY219" s="2"/>
      <c r="BZ219" s="2"/>
      <c r="CA219" s="2"/>
      <c r="CB219" s="2"/>
      <c r="CC219" s="2" t="s">
        <v>243</v>
      </c>
      <c r="CD219" s="2" t="str">
        <f>HYPERLINK("https://patentscout.innography.com/share/0iv9ltWqTIL59ZO2nUScvQ%3D%3D", "Innography Link")</f>
        <v>Innography Link</v>
      </c>
      <c r="CE219" s="2"/>
      <c r="CF219" s="2"/>
      <c r="CG219" s="2"/>
      <c r="CH219" s="2"/>
      <c r="CI219" s="2"/>
      <c r="CK219" s="2" t="s">
        <v>5141</v>
      </c>
      <c r="CL219" s="2" t="s">
        <v>444</v>
      </c>
      <c r="CM219" s="2" t="s">
        <v>371</v>
      </c>
      <c r="CN219" s="2" t="s">
        <v>497</v>
      </c>
    </row>
    <row r="220" spans="1:98" ht="152" customHeight="1" x14ac:dyDescent="0.45">
      <c r="A220" s="2">
        <v>0</v>
      </c>
      <c r="B220" s="2">
        <v>2</v>
      </c>
      <c r="C220" s="2" t="s">
        <v>5142</v>
      </c>
      <c r="D220" s="2"/>
      <c r="E220" s="2" t="s">
        <v>1222</v>
      </c>
      <c r="F220" s="2"/>
      <c r="G220" s="2" t="s">
        <v>1222</v>
      </c>
      <c r="H220" s="2" t="s">
        <v>5143</v>
      </c>
      <c r="I220" s="2" t="s">
        <v>787</v>
      </c>
      <c r="J220" s="2" t="s">
        <v>2835</v>
      </c>
      <c r="K220" s="2" t="s">
        <v>1222</v>
      </c>
      <c r="L220" s="2" t="s">
        <v>1222</v>
      </c>
      <c r="M220" s="2" t="s">
        <v>5144</v>
      </c>
      <c r="N220" s="2" t="s">
        <v>5145</v>
      </c>
      <c r="O220" s="2"/>
      <c r="P220" s="2" t="s">
        <v>173</v>
      </c>
      <c r="Q220" s="2" t="s">
        <v>173</v>
      </c>
      <c r="R220" s="2" t="s">
        <v>173</v>
      </c>
      <c r="S220" s="2" t="s">
        <v>173</v>
      </c>
      <c r="T220" s="2">
        <v>78</v>
      </c>
      <c r="U220" s="2">
        <v>7</v>
      </c>
      <c r="V220" s="2" t="s">
        <v>5146</v>
      </c>
      <c r="W220" s="2" t="s">
        <v>5147</v>
      </c>
      <c r="X220" s="2">
        <v>2652</v>
      </c>
      <c r="Y220" s="2" t="s">
        <v>5148</v>
      </c>
      <c r="Z220" s="2" t="s">
        <v>5149</v>
      </c>
      <c r="AA220" s="2" t="s">
        <v>5150</v>
      </c>
      <c r="AB220" s="2">
        <v>14</v>
      </c>
      <c r="AC220" s="2" t="s">
        <v>139</v>
      </c>
      <c r="AD220" s="2" t="s">
        <v>5151</v>
      </c>
      <c r="AE220" s="2">
        <v>141</v>
      </c>
      <c r="AF220" s="2" t="s">
        <v>141</v>
      </c>
      <c r="AG220" s="2"/>
      <c r="AH220" s="2"/>
      <c r="AI220" s="2"/>
      <c r="AJ220" s="2"/>
      <c r="AK220" s="2" t="s">
        <v>142</v>
      </c>
      <c r="AL220" s="2" t="s">
        <v>5152</v>
      </c>
      <c r="AM220" s="2" t="s">
        <v>5153</v>
      </c>
      <c r="AN220" s="2" t="s">
        <v>5154</v>
      </c>
      <c r="AO220" s="2" t="s">
        <v>5155</v>
      </c>
      <c r="AP220" s="2">
        <v>370313000</v>
      </c>
      <c r="AQ220" s="2">
        <v>370313000</v>
      </c>
      <c r="AR220" s="2" t="s">
        <v>253</v>
      </c>
      <c r="AS220" s="2">
        <v>81657683</v>
      </c>
      <c r="AT220" s="2" t="s">
        <v>5156</v>
      </c>
      <c r="AU220" s="2"/>
      <c r="AV220" s="2"/>
      <c r="AW220" s="2" t="s">
        <v>148</v>
      </c>
      <c r="AX220" s="2">
        <v>88198283</v>
      </c>
      <c r="AY220" s="2" t="s">
        <v>5157</v>
      </c>
      <c r="AZ220" s="2" t="s">
        <v>5158</v>
      </c>
      <c r="BA220" s="2" t="s">
        <v>2851</v>
      </c>
      <c r="BB220" s="2">
        <v>0</v>
      </c>
      <c r="BC220" s="3" t="str">
        <f>HYPERLINK("https://patentscout.innography.com/share/Mh5utDKzpKiNCKnBuQOdgQ%3D%3D","US20220167142")</f>
        <v>US20220167142</v>
      </c>
      <c r="BD220" s="2" t="s">
        <v>5159</v>
      </c>
      <c r="BE220" s="2" t="s">
        <v>5160</v>
      </c>
      <c r="BF220" s="2" t="s">
        <v>5161</v>
      </c>
      <c r="BG220" s="2" t="str">
        <f>HYPERLINK("https://patentscout.innography.com/share/Mh5utDKzpKiNCKnBuQOdgQ%3D%3D/download", "Download PDF")</f>
        <v>Download PDF</v>
      </c>
      <c r="BH220" s="2" t="s">
        <v>5162</v>
      </c>
      <c r="BI220" s="2"/>
      <c r="BJ220" s="2" t="s">
        <v>5163</v>
      </c>
      <c r="BK220" s="2" t="s">
        <v>5163</v>
      </c>
      <c r="BL220" s="2" t="s">
        <v>5164</v>
      </c>
      <c r="BM220" s="2"/>
      <c r="BN220" s="2"/>
      <c r="BO220" s="2"/>
      <c r="BP220" s="2"/>
      <c r="BQ220" s="2"/>
      <c r="BR220" s="2"/>
      <c r="BS220" s="2"/>
      <c r="BT220" s="2"/>
      <c r="BU220" s="2"/>
      <c r="BV220" s="2"/>
      <c r="BW220" s="2"/>
      <c r="BX220" s="2"/>
      <c r="BY220" s="2"/>
      <c r="BZ220" s="2"/>
      <c r="CA220" s="2"/>
      <c r="CB220" s="2"/>
      <c r="CC220" s="2" t="s">
        <v>158</v>
      </c>
      <c r="CD220" s="2" t="str">
        <f>HYPERLINK("https://patentscout.innography.com/share/Mh5utDKzpKiNCKnBuQOdgQ%3D%3D", "Innography Link")</f>
        <v>Innography Link</v>
      </c>
      <c r="CE220" s="2" t="s">
        <v>1045</v>
      </c>
      <c r="CF220" s="2" t="s">
        <v>5165</v>
      </c>
      <c r="CG220" s="2" t="s">
        <v>1047</v>
      </c>
      <c r="CH220" s="2" t="s">
        <v>1048</v>
      </c>
      <c r="CI220" s="2"/>
      <c r="CK220" s="2" t="s">
        <v>5166</v>
      </c>
    </row>
    <row r="221" spans="1:98" ht="152" customHeight="1" x14ac:dyDescent="0.45">
      <c r="A221" s="2">
        <v>0</v>
      </c>
      <c r="B221" s="2">
        <v>0</v>
      </c>
      <c r="C221" s="2"/>
      <c r="D221" s="2"/>
      <c r="E221" s="2" t="s">
        <v>5167</v>
      </c>
      <c r="F221" s="2"/>
      <c r="G221" s="2" t="s">
        <v>5167</v>
      </c>
      <c r="H221" s="2" t="s">
        <v>5168</v>
      </c>
      <c r="I221" s="2" t="s">
        <v>5168</v>
      </c>
      <c r="J221" s="2" t="s">
        <v>5169</v>
      </c>
      <c r="K221" s="2" t="s">
        <v>5167</v>
      </c>
      <c r="L221" s="2" t="s">
        <v>5167</v>
      </c>
      <c r="M221" s="2" t="s">
        <v>5170</v>
      </c>
      <c r="N221" s="2" t="s">
        <v>5171</v>
      </c>
      <c r="O221" s="2"/>
      <c r="P221" s="2" t="s">
        <v>5172</v>
      </c>
      <c r="Q221" s="2"/>
      <c r="R221" s="2"/>
      <c r="S221" s="2" t="s">
        <v>5172</v>
      </c>
      <c r="T221" s="2">
        <v>78</v>
      </c>
      <c r="U221" s="2">
        <v>5</v>
      </c>
      <c r="V221" s="2" t="s">
        <v>5173</v>
      </c>
      <c r="W221" s="2"/>
      <c r="X221" s="2"/>
      <c r="Y221" s="2"/>
      <c r="Z221" s="2" t="s">
        <v>5174</v>
      </c>
      <c r="AA221" s="2" t="s">
        <v>5175</v>
      </c>
      <c r="AB221" s="2">
        <v>5</v>
      </c>
      <c r="AC221" s="2" t="s">
        <v>214</v>
      </c>
      <c r="AD221" s="2" t="s">
        <v>5172</v>
      </c>
      <c r="AE221" s="2">
        <v>30</v>
      </c>
      <c r="AF221" s="2" t="s">
        <v>141</v>
      </c>
      <c r="AG221" s="2"/>
      <c r="AH221" s="2"/>
      <c r="AI221" s="2"/>
      <c r="AJ221" s="2"/>
      <c r="AK221" s="2" t="s">
        <v>217</v>
      </c>
      <c r="AL221" s="2" t="s">
        <v>5176</v>
      </c>
      <c r="AM221" s="2" t="s">
        <v>5177</v>
      </c>
      <c r="AN221" s="2" t="s">
        <v>3142</v>
      </c>
      <c r="AO221" s="2" t="s">
        <v>5178</v>
      </c>
      <c r="AP221" s="2">
        <v>705348000</v>
      </c>
      <c r="AQ221" s="2">
        <v>705348000</v>
      </c>
      <c r="AR221" s="2" t="s">
        <v>253</v>
      </c>
      <c r="AS221" s="2">
        <v>80817153</v>
      </c>
      <c r="AT221" s="2" t="s">
        <v>5179</v>
      </c>
      <c r="AU221" s="2"/>
      <c r="AV221" s="2"/>
      <c r="AW221" s="2" t="s">
        <v>219</v>
      </c>
      <c r="AX221" s="2">
        <v>86855762</v>
      </c>
      <c r="AY221" s="2" t="s">
        <v>5180</v>
      </c>
      <c r="AZ221" s="2" t="s">
        <v>5181</v>
      </c>
      <c r="BA221" s="2" t="s">
        <v>5182</v>
      </c>
      <c r="BB221" s="2">
        <v>0</v>
      </c>
      <c r="BC221" s="3" t="str">
        <f>HYPERLINK("https://patentscout.innography.com/share/YgpcUE6zhJZy3c3-c9v0YA%3D%3D","KR20220032025")</f>
        <v>KR20220032025</v>
      </c>
      <c r="BD221" s="2" t="s">
        <v>5183</v>
      </c>
      <c r="BE221" s="2"/>
      <c r="BF221" s="2" t="s">
        <v>5184</v>
      </c>
      <c r="BG221" s="2" t="str">
        <f>HYPERLINK("https://patentscout.innography.com/share/YgpcUE6zhJZy3c3-c9v0YA%3D%3D/download", "Download PDF")</f>
        <v>Download PDF</v>
      </c>
      <c r="BH221" s="2" t="s">
        <v>5185</v>
      </c>
      <c r="BI221" s="2"/>
      <c r="BJ221" s="2" t="s">
        <v>5180</v>
      </c>
      <c r="BK221" s="2" t="s">
        <v>5180</v>
      </c>
      <c r="BL221" s="2" t="s">
        <v>5180</v>
      </c>
      <c r="BM221" s="2"/>
      <c r="BN221" s="2"/>
      <c r="BO221" s="2"/>
      <c r="BP221" s="2"/>
      <c r="BQ221" s="2"/>
      <c r="BR221" s="2"/>
      <c r="BS221" s="2"/>
      <c r="BT221" s="2"/>
      <c r="BU221" s="2"/>
      <c r="BV221" s="2"/>
      <c r="BW221" s="2"/>
      <c r="BX221" s="2"/>
      <c r="BY221" s="2"/>
      <c r="BZ221" s="2"/>
      <c r="CA221" s="2"/>
      <c r="CB221" s="2"/>
      <c r="CC221" s="2" t="s">
        <v>228</v>
      </c>
      <c r="CD221" s="2" t="str">
        <f>HYPERLINK("https://patentscout.innography.com/share/YgpcUE6zhJZy3c3-c9v0YA%3D%3D", "Innography Link")</f>
        <v>Innography Link</v>
      </c>
      <c r="CE221" s="2"/>
      <c r="CF221" s="2"/>
      <c r="CG221" s="2"/>
      <c r="CH221" s="2"/>
      <c r="CI221" s="2"/>
    </row>
    <row r="222" spans="1:98" ht="152" customHeight="1" x14ac:dyDescent="0.45">
      <c r="A222" s="2">
        <v>0</v>
      </c>
      <c r="B222" s="2">
        <v>4</v>
      </c>
      <c r="C222" s="2" t="s">
        <v>5186</v>
      </c>
      <c r="D222" s="2"/>
      <c r="E222" s="2"/>
      <c r="F222" s="2" t="s">
        <v>4047</v>
      </c>
      <c r="G222" s="2" t="s">
        <v>4047</v>
      </c>
      <c r="H222" s="2" t="s">
        <v>5187</v>
      </c>
      <c r="I222" s="2" t="s">
        <v>5187</v>
      </c>
      <c r="J222" s="2" t="s">
        <v>5188</v>
      </c>
      <c r="K222" s="2" t="s">
        <v>4047</v>
      </c>
      <c r="L222" s="2" t="s">
        <v>4047</v>
      </c>
      <c r="M222" s="2" t="s">
        <v>5189</v>
      </c>
      <c r="N222" s="2" t="s">
        <v>5190</v>
      </c>
      <c r="O222" s="2"/>
      <c r="P222" s="2" t="s">
        <v>5191</v>
      </c>
      <c r="Q222" s="2" t="s">
        <v>5191</v>
      </c>
      <c r="R222" s="2" t="s">
        <v>5192</v>
      </c>
      <c r="S222" s="2" t="s">
        <v>5191</v>
      </c>
      <c r="T222" s="2">
        <v>78</v>
      </c>
      <c r="U222" s="2">
        <v>3</v>
      </c>
      <c r="V222" s="2" t="s">
        <v>5193</v>
      </c>
      <c r="W222" s="2"/>
      <c r="X222" s="2"/>
      <c r="Y222" s="2"/>
      <c r="Z222" s="2" t="s">
        <v>5194</v>
      </c>
      <c r="AA222" s="2" t="s">
        <v>5195</v>
      </c>
      <c r="AB222" s="2">
        <v>3</v>
      </c>
      <c r="AC222" s="2" t="s">
        <v>235</v>
      </c>
      <c r="AD222" s="2" t="s">
        <v>5196</v>
      </c>
      <c r="AE222" s="2">
        <v>555</v>
      </c>
      <c r="AF222" s="2" t="s">
        <v>141</v>
      </c>
      <c r="AG222" s="2"/>
      <c r="AH222" s="2"/>
      <c r="AI222" s="2"/>
      <c r="AJ222" s="2"/>
      <c r="AK222" s="2" t="s">
        <v>217</v>
      </c>
      <c r="AL222" s="2" t="s">
        <v>298</v>
      </c>
      <c r="AM222" s="2" t="s">
        <v>298</v>
      </c>
      <c r="AN222" s="2" t="s">
        <v>359</v>
      </c>
      <c r="AO222" s="2" t="s">
        <v>5197</v>
      </c>
      <c r="AP222" s="2">
        <v>705348000</v>
      </c>
      <c r="AQ222" s="2">
        <v>705348000</v>
      </c>
      <c r="AR222" s="2" t="s">
        <v>253</v>
      </c>
      <c r="AS222" s="2">
        <v>82609264</v>
      </c>
      <c r="AT222" s="2" t="s">
        <v>5198</v>
      </c>
      <c r="AU222" s="2"/>
      <c r="AV222" s="2"/>
      <c r="AW222" s="2" t="s">
        <v>336</v>
      </c>
      <c r="AX222" s="2">
        <v>89269227</v>
      </c>
      <c r="AY222" s="2" t="s">
        <v>5199</v>
      </c>
      <c r="AZ222" s="2" t="s">
        <v>5200</v>
      </c>
      <c r="BA222" s="2" t="s">
        <v>5201</v>
      </c>
      <c r="BB222" s="2">
        <v>0</v>
      </c>
      <c r="BC222" s="3" t="str">
        <f>HYPERLINK("https://patentscout.innography.com/share/tgWBHgJ-IjU_H7gmK4vPqg%3D%3D","KR102423080")</f>
        <v>KR102423080</v>
      </c>
      <c r="BD222" s="2" t="s">
        <v>5202</v>
      </c>
      <c r="BE222" s="2" t="s">
        <v>5203</v>
      </c>
      <c r="BF222" s="2" t="s">
        <v>5204</v>
      </c>
      <c r="BG222" s="2" t="str">
        <f>HYPERLINK("https://patentscout.innography.com/share/tgWBHgJ-IjU_H7gmK4vPqg%3D%3D/download", "Download PDF")</f>
        <v>Download PDF</v>
      </c>
      <c r="BH222" s="2" t="s">
        <v>5205</v>
      </c>
      <c r="BI222" s="2"/>
      <c r="BJ222" s="2" t="s">
        <v>5206</v>
      </c>
      <c r="BK222" s="2" t="s">
        <v>5206</v>
      </c>
      <c r="BL222" s="2" t="s">
        <v>5206</v>
      </c>
      <c r="BM222" s="2"/>
      <c r="BN222" s="2"/>
      <c r="BO222" s="2"/>
      <c r="BP222" s="2"/>
      <c r="BQ222" s="2"/>
      <c r="BR222" s="2"/>
      <c r="BS222" s="2"/>
      <c r="BT222" s="2"/>
      <c r="BU222" s="2"/>
      <c r="BV222" s="2"/>
      <c r="BW222" s="2"/>
      <c r="BX222" s="2"/>
      <c r="BY222" s="2"/>
      <c r="BZ222" s="2"/>
      <c r="CA222" s="2"/>
      <c r="CB222" s="2"/>
      <c r="CC222" s="2" t="s">
        <v>243</v>
      </c>
      <c r="CD222" s="2" t="str">
        <f>HYPERLINK("https://patentscout.innography.com/share/tgWBHgJ-IjU_H7gmK4vPqg%3D%3D", "Innography Link")</f>
        <v>Innography Link</v>
      </c>
      <c r="CE222" s="2"/>
      <c r="CF222" s="2"/>
      <c r="CG222" s="2"/>
      <c r="CH222" s="2"/>
      <c r="CI222" s="2"/>
      <c r="CK222" s="2" t="s">
        <v>5207</v>
      </c>
      <c r="CL222" s="2" t="s">
        <v>780</v>
      </c>
      <c r="CM222" s="2" t="s">
        <v>444</v>
      </c>
    </row>
    <row r="223" spans="1:98" ht="152" customHeight="1" x14ac:dyDescent="0.45">
      <c r="A223" s="2">
        <v>0</v>
      </c>
      <c r="B223" s="2">
        <v>4</v>
      </c>
      <c r="C223" s="2" t="s">
        <v>5186</v>
      </c>
      <c r="D223" s="2"/>
      <c r="E223" s="2"/>
      <c r="F223" s="2" t="s">
        <v>3344</v>
      </c>
      <c r="G223" s="2" t="s">
        <v>3344</v>
      </c>
      <c r="H223" s="2" t="s">
        <v>5187</v>
      </c>
      <c r="I223" s="2" t="s">
        <v>5187</v>
      </c>
      <c r="J223" s="2" t="s">
        <v>5188</v>
      </c>
      <c r="K223" s="2" t="s">
        <v>3344</v>
      </c>
      <c r="L223" s="2" t="s">
        <v>3344</v>
      </c>
      <c r="M223" s="2" t="s">
        <v>5208</v>
      </c>
      <c r="N223" s="2" t="s">
        <v>5209</v>
      </c>
      <c r="O223" s="2"/>
      <c r="P223" s="2" t="s">
        <v>5191</v>
      </c>
      <c r="Q223" s="2" t="s">
        <v>5191</v>
      </c>
      <c r="R223" s="2" t="s">
        <v>5192</v>
      </c>
      <c r="S223" s="2" t="s">
        <v>5191</v>
      </c>
      <c r="T223" s="2">
        <v>78</v>
      </c>
      <c r="U223" s="2">
        <v>3</v>
      </c>
      <c r="V223" s="2" t="s">
        <v>5210</v>
      </c>
      <c r="W223" s="2"/>
      <c r="X223" s="2"/>
      <c r="Y223" s="2"/>
      <c r="Z223" s="2" t="s">
        <v>5211</v>
      </c>
      <c r="AA223" s="2" t="s">
        <v>5212</v>
      </c>
      <c r="AB223" s="2">
        <v>3</v>
      </c>
      <c r="AC223" s="2" t="s">
        <v>235</v>
      </c>
      <c r="AD223" s="2" t="s">
        <v>5196</v>
      </c>
      <c r="AE223" s="2">
        <v>278</v>
      </c>
      <c r="AF223" s="2" t="s">
        <v>141</v>
      </c>
      <c r="AG223" s="2"/>
      <c r="AH223" s="2"/>
      <c r="AI223" s="2"/>
      <c r="AJ223" s="2"/>
      <c r="AK223" s="2" t="s">
        <v>217</v>
      </c>
      <c r="AL223" s="2" t="s">
        <v>298</v>
      </c>
      <c r="AM223" s="2" t="s">
        <v>298</v>
      </c>
      <c r="AN223" s="2" t="s">
        <v>359</v>
      </c>
      <c r="AO223" s="2" t="s">
        <v>5213</v>
      </c>
      <c r="AP223" s="2">
        <v>705348000</v>
      </c>
      <c r="AQ223" s="2">
        <v>705348000</v>
      </c>
      <c r="AR223" s="2" t="s">
        <v>253</v>
      </c>
      <c r="AS223" s="2">
        <v>83112311</v>
      </c>
      <c r="AT223" s="2" t="s">
        <v>5214</v>
      </c>
      <c r="AU223" s="2"/>
      <c r="AV223" s="2"/>
      <c r="AW223" s="2" t="s">
        <v>336</v>
      </c>
      <c r="AX223" s="2">
        <v>90039838</v>
      </c>
      <c r="AY223" s="2" t="s">
        <v>5215</v>
      </c>
      <c r="AZ223" s="2" t="s">
        <v>5216</v>
      </c>
      <c r="BA223" s="2" t="s">
        <v>5201</v>
      </c>
      <c r="BB223" s="2">
        <v>0</v>
      </c>
      <c r="BC223" s="3" t="str">
        <f>HYPERLINK("https://patentscout.innography.com/share/uv1RSPjzPwsXhl6zqZBTWw%3D%3D","KR102433844")</f>
        <v>KR102433844</v>
      </c>
      <c r="BD223" s="2" t="s">
        <v>5217</v>
      </c>
      <c r="BE223" s="2" t="s">
        <v>5218</v>
      </c>
      <c r="BF223" s="2" t="s">
        <v>5219</v>
      </c>
      <c r="BG223" s="2" t="str">
        <f>HYPERLINK("https://patentscout.innography.com/share/uv1RSPjzPwsXhl6zqZBTWw%3D%3D/download", "Download PDF")</f>
        <v>Download PDF</v>
      </c>
      <c r="BH223" s="2" t="s">
        <v>5220</v>
      </c>
      <c r="BI223" s="2"/>
      <c r="BJ223" s="2" t="s">
        <v>5221</v>
      </c>
      <c r="BK223" s="2" t="s">
        <v>5221</v>
      </c>
      <c r="BL223" s="2" t="s">
        <v>5221</v>
      </c>
      <c r="BM223" s="2"/>
      <c r="BN223" s="2"/>
      <c r="BO223" s="2"/>
      <c r="BP223" s="2"/>
      <c r="BQ223" s="2"/>
      <c r="BR223" s="2"/>
      <c r="BS223" s="2"/>
      <c r="BT223" s="2"/>
      <c r="BU223" s="2"/>
      <c r="BV223" s="2"/>
      <c r="BW223" s="2"/>
      <c r="BX223" s="2"/>
      <c r="BY223" s="2"/>
      <c r="BZ223" s="2"/>
      <c r="CA223" s="2"/>
      <c r="CB223" s="2"/>
      <c r="CC223" s="2" t="s">
        <v>243</v>
      </c>
      <c r="CD223" s="2" t="str">
        <f>HYPERLINK("https://patentscout.innography.com/share/uv1RSPjzPwsXhl6zqZBTWw%3D%3D", "Innography Link")</f>
        <v>Innography Link</v>
      </c>
      <c r="CE223" s="2"/>
      <c r="CF223" s="2"/>
      <c r="CG223" s="2"/>
      <c r="CH223" s="2"/>
      <c r="CI223" s="2"/>
      <c r="CK223" s="2" t="s">
        <v>5222</v>
      </c>
      <c r="CL223" s="2" t="s">
        <v>780</v>
      </c>
    </row>
    <row r="224" spans="1:98" ht="152" customHeight="1" x14ac:dyDescent="0.45">
      <c r="A224" s="2">
        <v>0</v>
      </c>
      <c r="B224" s="2">
        <v>10</v>
      </c>
      <c r="C224" s="2" t="s">
        <v>5223</v>
      </c>
      <c r="D224" s="2"/>
      <c r="E224" s="2"/>
      <c r="F224" s="2" t="s">
        <v>1362</v>
      </c>
      <c r="G224" s="2" t="s">
        <v>1362</v>
      </c>
      <c r="H224" s="2" t="s">
        <v>2233</v>
      </c>
      <c r="I224" s="2" t="s">
        <v>2233</v>
      </c>
      <c r="J224" s="2" t="s">
        <v>2512</v>
      </c>
      <c r="K224" s="2" t="s">
        <v>1362</v>
      </c>
      <c r="L224" s="2" t="s">
        <v>1362</v>
      </c>
      <c r="M224" s="2" t="s">
        <v>5224</v>
      </c>
      <c r="N224" s="2" t="s">
        <v>5225</v>
      </c>
      <c r="O224" s="2"/>
      <c r="P224" s="2" t="s">
        <v>5226</v>
      </c>
      <c r="Q224" s="2" t="s">
        <v>5227</v>
      </c>
      <c r="R224" s="2" t="s">
        <v>5227</v>
      </c>
      <c r="S224" s="2" t="s">
        <v>5226</v>
      </c>
      <c r="T224" s="2">
        <v>78</v>
      </c>
      <c r="U224" s="2">
        <v>31</v>
      </c>
      <c r="V224" s="2" t="s">
        <v>5228</v>
      </c>
      <c r="W224" s="2" t="s">
        <v>5229</v>
      </c>
      <c r="X224" s="2">
        <v>3625</v>
      </c>
      <c r="Y224" s="2" t="s">
        <v>5230</v>
      </c>
      <c r="Z224" s="2" t="s">
        <v>5231</v>
      </c>
      <c r="AA224" s="2" t="s">
        <v>5232</v>
      </c>
      <c r="AB224" s="2">
        <v>30</v>
      </c>
      <c r="AC224" s="2" t="s">
        <v>235</v>
      </c>
      <c r="AD224" s="2" t="s">
        <v>5233</v>
      </c>
      <c r="AE224" s="2">
        <v>246</v>
      </c>
      <c r="AF224" s="2" t="s">
        <v>141</v>
      </c>
      <c r="AG224" s="2"/>
      <c r="AH224" s="2"/>
      <c r="AI224" s="2"/>
      <c r="AJ224" s="2"/>
      <c r="AK224" s="2" t="s">
        <v>142</v>
      </c>
      <c r="AL224" s="2" t="s">
        <v>5234</v>
      </c>
      <c r="AM224" s="2" t="s">
        <v>5235</v>
      </c>
      <c r="AN224" s="2" t="s">
        <v>539</v>
      </c>
      <c r="AO224" s="2" t="s">
        <v>5236</v>
      </c>
      <c r="AP224" s="2">
        <v>705348000</v>
      </c>
      <c r="AQ224" s="2">
        <v>705348000</v>
      </c>
      <c r="AR224" s="2" t="s">
        <v>415</v>
      </c>
      <c r="AS224" s="2">
        <v>83695716</v>
      </c>
      <c r="AT224" s="2" t="s">
        <v>5237</v>
      </c>
      <c r="AU224" s="2"/>
      <c r="AV224" s="2"/>
      <c r="AW224" s="2" t="s">
        <v>254</v>
      </c>
      <c r="AX224" s="2">
        <v>92042507</v>
      </c>
      <c r="AY224" s="2" t="s">
        <v>5238</v>
      </c>
      <c r="AZ224" s="2" t="s">
        <v>5239</v>
      </c>
      <c r="BA224" s="2" t="s">
        <v>2527</v>
      </c>
      <c r="BB224" s="2">
        <v>0</v>
      </c>
      <c r="BC224" s="3" t="str">
        <f>HYPERLINK("https://patentscout.innography.com/share/eVxfFldxxSmB9DPruPal3Q%3D%3D","US11481815")</f>
        <v>US11481815</v>
      </c>
      <c r="BD224" s="2" t="s">
        <v>5240</v>
      </c>
      <c r="BE224" s="2" t="s">
        <v>5241</v>
      </c>
      <c r="BF224" s="2" t="s">
        <v>5242</v>
      </c>
      <c r="BG224" s="2" t="str">
        <f>HYPERLINK("https://patentscout.innography.com/share/eVxfFldxxSmB9DPruPal3Q%3D%3D/download", "Download PDF")</f>
        <v>Download PDF</v>
      </c>
      <c r="BH224" s="2" t="s">
        <v>5243</v>
      </c>
      <c r="BI224" s="2"/>
      <c r="BJ224" s="2" t="s">
        <v>5238</v>
      </c>
      <c r="BK224" s="2" t="s">
        <v>5238</v>
      </c>
      <c r="BL224" s="2" t="s">
        <v>5238</v>
      </c>
      <c r="BM224" s="2"/>
      <c r="BN224" s="2"/>
      <c r="BO224" s="2"/>
      <c r="BP224" s="2"/>
      <c r="BQ224" s="2"/>
      <c r="BR224" s="2"/>
      <c r="BS224" s="2"/>
      <c r="BT224" s="2"/>
      <c r="BU224" s="2"/>
      <c r="BV224" s="2"/>
      <c r="BW224" s="2"/>
      <c r="BX224" s="2"/>
      <c r="BY224" s="2"/>
      <c r="BZ224" s="2"/>
      <c r="CA224" s="2"/>
      <c r="CB224" s="2"/>
      <c r="CC224" s="2" t="s">
        <v>259</v>
      </c>
      <c r="CD224" s="2" t="str">
        <f>HYPERLINK("https://patentscout.innography.com/share/eVxfFldxxSmB9DPruPal3Q%3D%3D", "Innography Link")</f>
        <v>Innography Link</v>
      </c>
      <c r="CE224" s="2"/>
      <c r="CF224" s="2"/>
      <c r="CG224" s="2"/>
      <c r="CH224" s="2"/>
      <c r="CI224" s="2"/>
      <c r="CK224" s="2" t="s">
        <v>5244</v>
      </c>
      <c r="CL224" s="2" t="s">
        <v>5245</v>
      </c>
    </row>
    <row r="225" spans="1:96" ht="152" customHeight="1" x14ac:dyDescent="0.45">
      <c r="A225" s="2">
        <v>0</v>
      </c>
      <c r="B225" s="2">
        <v>0</v>
      </c>
      <c r="C225" s="2"/>
      <c r="D225" s="2"/>
      <c r="E225" s="2" t="s">
        <v>1500</v>
      </c>
      <c r="F225" s="2"/>
      <c r="G225" s="2" t="s">
        <v>1500</v>
      </c>
      <c r="H225" s="2" t="s">
        <v>5246</v>
      </c>
      <c r="I225" s="2" t="s">
        <v>5247</v>
      </c>
      <c r="J225" s="2" t="s">
        <v>5248</v>
      </c>
      <c r="K225" s="2" t="s">
        <v>5249</v>
      </c>
      <c r="L225" s="2" t="s">
        <v>5249</v>
      </c>
      <c r="M225" s="2" t="s">
        <v>5250</v>
      </c>
      <c r="N225" s="2" t="s">
        <v>5251</v>
      </c>
      <c r="O225" s="2"/>
      <c r="P225" s="2" t="s">
        <v>5252</v>
      </c>
      <c r="Q225" s="2" t="s">
        <v>5253</v>
      </c>
      <c r="R225" s="2" t="s">
        <v>5253</v>
      </c>
      <c r="S225" s="2" t="s">
        <v>5252</v>
      </c>
      <c r="T225" s="2">
        <v>78</v>
      </c>
      <c r="U225" s="2">
        <v>8</v>
      </c>
      <c r="V225" s="2" t="s">
        <v>5254</v>
      </c>
      <c r="W225" s="2" t="s">
        <v>533</v>
      </c>
      <c r="X225" s="2"/>
      <c r="Y225" s="2"/>
      <c r="Z225" s="2" t="s">
        <v>5255</v>
      </c>
      <c r="AA225" s="2" t="s">
        <v>5256</v>
      </c>
      <c r="AB225" s="2">
        <v>11</v>
      </c>
      <c r="AC225" s="2" t="s">
        <v>139</v>
      </c>
      <c r="AD225" s="2" t="s">
        <v>5257</v>
      </c>
      <c r="AE225" s="2">
        <v>219</v>
      </c>
      <c r="AF225" s="2" t="s">
        <v>141</v>
      </c>
      <c r="AG225" s="2"/>
      <c r="AH225" s="2"/>
      <c r="AI225" s="2"/>
      <c r="AJ225" s="2"/>
      <c r="AK225" s="2" t="s">
        <v>142</v>
      </c>
      <c r="AL225" s="2" t="s">
        <v>5258</v>
      </c>
      <c r="AM225" s="2" t="s">
        <v>5259</v>
      </c>
      <c r="AN225" s="2" t="s">
        <v>5260</v>
      </c>
      <c r="AO225" s="2" t="s">
        <v>5261</v>
      </c>
      <c r="AP225" s="2">
        <v>706005000</v>
      </c>
      <c r="AQ225" s="2">
        <v>706005000</v>
      </c>
      <c r="AR225" s="2" t="s">
        <v>253</v>
      </c>
      <c r="AS225" s="2">
        <v>76300988</v>
      </c>
      <c r="AT225" s="2" t="s">
        <v>5262</v>
      </c>
      <c r="AU225" s="2"/>
      <c r="AV225" s="2"/>
      <c r="AW225" s="2" t="s">
        <v>148</v>
      </c>
      <c r="AX225" s="2">
        <v>80915521</v>
      </c>
      <c r="AY225" s="2" t="s">
        <v>5263</v>
      </c>
      <c r="AZ225" s="2" t="s">
        <v>5264</v>
      </c>
      <c r="BA225" s="2" t="s">
        <v>5265</v>
      </c>
      <c r="BB225" s="2">
        <v>0</v>
      </c>
      <c r="BC225" s="3" t="str">
        <f>HYPERLINK("https://patentscout.innography.com/share/_2uN_9TMzZAp165JIrDSTg%3D%3D","US20220351048")</f>
        <v>US20220351048</v>
      </c>
      <c r="BD225" s="2" t="s">
        <v>5266</v>
      </c>
      <c r="BE225" s="2" t="s">
        <v>5267</v>
      </c>
      <c r="BF225" s="2" t="s">
        <v>5268</v>
      </c>
      <c r="BG225" s="2" t="str">
        <f>HYPERLINK("https://patentscout.innography.com/share/_2uN_9TMzZAp165JIrDSTg%3D%3D/download", "Download PDF")</f>
        <v>Download PDF</v>
      </c>
      <c r="BH225" s="2" t="s">
        <v>5269</v>
      </c>
      <c r="BI225" s="2"/>
      <c r="BJ225" s="2" t="s">
        <v>5270</v>
      </c>
      <c r="BK225" s="2" t="s">
        <v>5271</v>
      </c>
      <c r="BL225" s="2" t="s">
        <v>5271</v>
      </c>
      <c r="BM225" s="2"/>
      <c r="BN225" s="2"/>
      <c r="BO225" s="2"/>
      <c r="BP225" s="2"/>
      <c r="BQ225" s="2"/>
      <c r="BR225" s="2"/>
      <c r="BS225" s="2"/>
      <c r="BT225" s="2"/>
      <c r="BU225" s="2" t="s">
        <v>5272</v>
      </c>
      <c r="BV225" s="2"/>
      <c r="BW225" s="2"/>
      <c r="BX225" s="2"/>
      <c r="BY225" s="2"/>
      <c r="BZ225" s="2"/>
      <c r="CA225" s="2"/>
      <c r="CB225" s="2"/>
      <c r="CC225" s="2" t="s">
        <v>158</v>
      </c>
      <c r="CD225" s="2" t="str">
        <f>HYPERLINK("https://patentscout.innography.com/share/_2uN_9TMzZAp165JIrDSTg%3D%3D", "Innography Link")</f>
        <v>Innography Link</v>
      </c>
      <c r="CE225" s="2"/>
      <c r="CF225" s="2"/>
      <c r="CG225" s="2"/>
      <c r="CH225" s="2"/>
      <c r="CI225" s="2"/>
      <c r="CK225" s="2" t="s">
        <v>5273</v>
      </c>
      <c r="CL225" s="2" t="s">
        <v>5274</v>
      </c>
    </row>
    <row r="226" spans="1:96" ht="152" customHeight="1" x14ac:dyDescent="0.45">
      <c r="A226" s="2">
        <v>0</v>
      </c>
      <c r="B226" s="2">
        <v>0</v>
      </c>
      <c r="C226" s="2"/>
      <c r="D226" s="2"/>
      <c r="E226" s="2" t="s">
        <v>5275</v>
      </c>
      <c r="F226" s="2"/>
      <c r="G226" s="2" t="s">
        <v>5275</v>
      </c>
      <c r="H226" s="2" t="s">
        <v>5246</v>
      </c>
      <c r="I226" s="2" t="s">
        <v>5247</v>
      </c>
      <c r="J226" s="2" t="s">
        <v>5248</v>
      </c>
      <c r="K226" s="2" t="s">
        <v>5249</v>
      </c>
      <c r="L226" s="2" t="s">
        <v>5249</v>
      </c>
      <c r="M226" s="2" t="s">
        <v>5276</v>
      </c>
      <c r="N226" s="2" t="s">
        <v>5251</v>
      </c>
      <c r="O226" s="2"/>
      <c r="P226" s="2" t="s">
        <v>5252</v>
      </c>
      <c r="Q226" s="2" t="s">
        <v>5253</v>
      </c>
      <c r="R226" s="2" t="s">
        <v>5253</v>
      </c>
      <c r="S226" s="2" t="s">
        <v>5252</v>
      </c>
      <c r="T226" s="2">
        <v>78</v>
      </c>
      <c r="U226" s="2">
        <v>8</v>
      </c>
      <c r="V226" s="2" t="s">
        <v>5277</v>
      </c>
      <c r="W226" s="2"/>
      <c r="X226" s="2"/>
      <c r="Y226" s="2"/>
      <c r="Z226" s="2" t="s">
        <v>5278</v>
      </c>
      <c r="AA226" s="2" t="s">
        <v>5279</v>
      </c>
      <c r="AB226" s="2">
        <v>11</v>
      </c>
      <c r="AC226" s="2" t="s">
        <v>139</v>
      </c>
      <c r="AD226" s="2" t="s">
        <v>5257</v>
      </c>
      <c r="AE226" s="2">
        <v>224</v>
      </c>
      <c r="AF226" s="2" t="s">
        <v>141</v>
      </c>
      <c r="AG226" s="2"/>
      <c r="AH226" s="2"/>
      <c r="AI226" s="2"/>
      <c r="AJ226" s="2"/>
      <c r="AK226" s="2" t="s">
        <v>5280</v>
      </c>
      <c r="AL226" s="2" t="s">
        <v>5258</v>
      </c>
      <c r="AM226" s="2" t="s">
        <v>5259</v>
      </c>
      <c r="AN226" s="2" t="s">
        <v>5281</v>
      </c>
      <c r="AO226" s="2" t="s">
        <v>5282</v>
      </c>
      <c r="AP226" s="2">
        <v>463000000</v>
      </c>
      <c r="AQ226" s="2" t="s">
        <v>4558</v>
      </c>
      <c r="AR226" s="2" t="s">
        <v>253</v>
      </c>
      <c r="AS226" s="2">
        <v>76300988</v>
      </c>
      <c r="AT226" s="2" t="s">
        <v>5262</v>
      </c>
      <c r="AU226" s="2"/>
      <c r="AV226" s="2"/>
      <c r="AW226" s="2" t="s">
        <v>5283</v>
      </c>
      <c r="AX226" s="2">
        <v>80915521</v>
      </c>
      <c r="AY226" s="2" t="s">
        <v>5263</v>
      </c>
      <c r="AZ226" s="2" t="s">
        <v>5284</v>
      </c>
      <c r="BA226" s="2" t="s">
        <v>5265</v>
      </c>
      <c r="BB226" s="2">
        <v>0</v>
      </c>
      <c r="BC226" s="3" t="str">
        <f>HYPERLINK("https://patentscout.innography.com/share/F8ndRRJHal5GfzJmEzz2Pg%3D%3D","CA3157016")</f>
        <v>CA3157016</v>
      </c>
      <c r="BD226" s="2" t="s">
        <v>5285</v>
      </c>
      <c r="BE226" s="2"/>
      <c r="BF226" s="2" t="s">
        <v>5286</v>
      </c>
      <c r="BG226" s="2" t="str">
        <f>HYPERLINK("https://patentscout.innography.com/share/F8ndRRJHal5GfzJmEzz2Pg%3D%3D/download", "Download PDF")</f>
        <v>Download PDF</v>
      </c>
      <c r="BH226" s="2" t="s">
        <v>5287</v>
      </c>
      <c r="BI226" s="2"/>
      <c r="BJ226" s="2" t="s">
        <v>5288</v>
      </c>
      <c r="BK226" s="2" t="s">
        <v>5271</v>
      </c>
      <c r="BL226" s="2" t="s">
        <v>5271</v>
      </c>
      <c r="BM226" s="2"/>
      <c r="BN226" s="2"/>
      <c r="BO226" s="2"/>
      <c r="BP226" s="2"/>
      <c r="BQ226" s="2"/>
      <c r="BR226" s="2"/>
      <c r="BS226" s="2"/>
      <c r="BT226" s="2"/>
      <c r="BU226" s="2" t="s">
        <v>5289</v>
      </c>
      <c r="BV226" s="2"/>
      <c r="BW226" s="2"/>
      <c r="BX226" s="2"/>
      <c r="BY226" s="2"/>
      <c r="BZ226" s="2"/>
      <c r="CA226" s="2"/>
      <c r="CB226" s="2"/>
      <c r="CC226" s="2" t="s">
        <v>5290</v>
      </c>
      <c r="CD226" s="2" t="str">
        <f>HYPERLINK("https://patentscout.innography.com/share/F8ndRRJHal5GfzJmEzz2Pg%3D%3D", "Innography Link")</f>
        <v>Innography Link</v>
      </c>
      <c r="CE226" s="2"/>
      <c r="CF226" s="2"/>
      <c r="CG226" s="2"/>
      <c r="CH226" s="2"/>
      <c r="CI226" s="2"/>
      <c r="CK226" s="2" t="s">
        <v>4840</v>
      </c>
      <c r="CL226" s="2" t="s">
        <v>5291</v>
      </c>
      <c r="CM226" s="2" t="s">
        <v>5292</v>
      </c>
      <c r="CN226" s="2" t="s">
        <v>5293</v>
      </c>
    </row>
    <row r="227" spans="1:96" ht="152" customHeight="1" x14ac:dyDescent="0.45">
      <c r="A227" s="2">
        <v>0</v>
      </c>
      <c r="B227" s="2">
        <v>3</v>
      </c>
      <c r="C227" s="2" t="s">
        <v>706</v>
      </c>
      <c r="D227" s="2"/>
      <c r="E227" s="2"/>
      <c r="F227" s="2" t="s">
        <v>707</v>
      </c>
      <c r="G227" s="2" t="s">
        <v>707</v>
      </c>
      <c r="H227" s="2" t="s">
        <v>708</v>
      </c>
      <c r="I227" s="2" t="s">
        <v>5294</v>
      </c>
      <c r="J227" s="2" t="s">
        <v>5295</v>
      </c>
      <c r="K227" s="2" t="s">
        <v>707</v>
      </c>
      <c r="L227" s="2" t="s">
        <v>707</v>
      </c>
      <c r="M227" s="2" t="s">
        <v>5296</v>
      </c>
      <c r="N227" s="2" t="s">
        <v>5297</v>
      </c>
      <c r="O227" s="2"/>
      <c r="P227" s="2"/>
      <c r="Q227" s="2"/>
      <c r="R227" s="2"/>
      <c r="S227" s="2"/>
      <c r="T227" s="2">
        <v>78</v>
      </c>
      <c r="U227" s="2">
        <v>2</v>
      </c>
      <c r="V227" s="2" t="s">
        <v>5298</v>
      </c>
      <c r="W227" s="2"/>
      <c r="X227" s="2"/>
      <c r="Y227" s="2"/>
      <c r="Z227" s="2" t="s">
        <v>5299</v>
      </c>
      <c r="AA227" s="2" t="s">
        <v>5300</v>
      </c>
      <c r="AB227" s="2">
        <v>2</v>
      </c>
      <c r="AC227" s="2" t="s">
        <v>235</v>
      </c>
      <c r="AD227" s="2"/>
      <c r="AE227" s="2">
        <v>961</v>
      </c>
      <c r="AF227" s="2" t="s">
        <v>141</v>
      </c>
      <c r="AG227" s="2"/>
      <c r="AH227" s="2"/>
      <c r="AI227" s="2"/>
      <c r="AJ227" s="2"/>
      <c r="AK227" s="2" t="s">
        <v>217</v>
      </c>
      <c r="AL227" s="2" t="s">
        <v>716</v>
      </c>
      <c r="AM227" s="2" t="s">
        <v>716</v>
      </c>
      <c r="AN227" s="2" t="s">
        <v>717</v>
      </c>
      <c r="AO227" s="2" t="s">
        <v>718</v>
      </c>
      <c r="AP227" s="2">
        <v>705348000</v>
      </c>
      <c r="AQ227" s="2">
        <v>705348000</v>
      </c>
      <c r="AR227" s="2" t="s">
        <v>253</v>
      </c>
      <c r="AS227" s="2">
        <v>84392184</v>
      </c>
      <c r="AT227" s="2" t="s">
        <v>5301</v>
      </c>
      <c r="AU227" s="2"/>
      <c r="AV227" s="2"/>
      <c r="AW227" s="2" t="s">
        <v>336</v>
      </c>
      <c r="AX227" s="2">
        <v>92917323</v>
      </c>
      <c r="AY227" s="2" t="s">
        <v>720</v>
      </c>
      <c r="AZ227" s="2" t="s">
        <v>5302</v>
      </c>
      <c r="BA227" s="2" t="s">
        <v>5303</v>
      </c>
      <c r="BB227" s="2">
        <v>0</v>
      </c>
      <c r="BC227" s="3" t="str">
        <f>HYPERLINK("https://patentscout.innography.com/share/UBSF8LL_iQkSa2gUSQ7FGw%3D%3D","KR102474004")</f>
        <v>KR102474004</v>
      </c>
      <c r="BD227" s="2" t="s">
        <v>5304</v>
      </c>
      <c r="BE227" s="2" t="s">
        <v>724</v>
      </c>
      <c r="BF227" s="2" t="s">
        <v>5305</v>
      </c>
      <c r="BG227" s="2" t="str">
        <f>HYPERLINK("https://patentscout.innography.com/share/UBSF8LL_iQkSa2gUSQ7FGw%3D%3D/download", "Download PDF")</f>
        <v>Download PDF</v>
      </c>
      <c r="BH227" s="2" t="s">
        <v>5306</v>
      </c>
      <c r="BI227" s="2"/>
      <c r="BJ227" s="2" t="s">
        <v>5307</v>
      </c>
      <c r="BK227" s="2" t="s">
        <v>5307</v>
      </c>
      <c r="BL227" s="2" t="s">
        <v>727</v>
      </c>
      <c r="BM227" s="2"/>
      <c r="BN227" s="2"/>
      <c r="BO227" s="2"/>
      <c r="BP227" s="2"/>
      <c r="BQ227" s="2"/>
      <c r="BR227" s="2"/>
      <c r="BS227" s="2"/>
      <c r="BT227" s="2"/>
      <c r="BU227" s="2"/>
      <c r="BV227" s="2"/>
      <c r="BW227" s="2"/>
      <c r="BX227" s="2"/>
      <c r="BY227" s="2"/>
      <c r="BZ227" s="2"/>
      <c r="CA227" s="2"/>
      <c r="CB227" s="2"/>
      <c r="CC227" s="2" t="s">
        <v>243</v>
      </c>
      <c r="CD227" s="2" t="str">
        <f>HYPERLINK("https://patentscout.innography.com/share/UBSF8LL_iQkSa2gUSQ7FGw%3D%3D", "Innography Link")</f>
        <v>Innography Link</v>
      </c>
      <c r="CE227" s="2"/>
      <c r="CF227" s="2"/>
      <c r="CG227" s="2"/>
      <c r="CH227" s="2"/>
      <c r="CI227" s="2"/>
      <c r="CK227" s="2" t="s">
        <v>5308</v>
      </c>
      <c r="CL227" s="2" t="s">
        <v>780</v>
      </c>
    </row>
    <row r="228" spans="1:96" ht="152" customHeight="1" x14ac:dyDescent="0.45">
      <c r="A228" s="2">
        <v>0</v>
      </c>
      <c r="B228" s="2">
        <v>0</v>
      </c>
      <c r="C228" s="2"/>
      <c r="D228" s="2"/>
      <c r="E228" s="2" t="s">
        <v>5309</v>
      </c>
      <c r="F228" s="2"/>
      <c r="G228" s="2" t="s">
        <v>5309</v>
      </c>
      <c r="H228" s="2" t="s">
        <v>1600</v>
      </c>
      <c r="I228" s="2" t="s">
        <v>1600</v>
      </c>
      <c r="J228" s="2" t="s">
        <v>5310</v>
      </c>
      <c r="K228" s="2" t="s">
        <v>5309</v>
      </c>
      <c r="L228" s="2" t="s">
        <v>5309</v>
      </c>
      <c r="M228" s="2" t="s">
        <v>5311</v>
      </c>
      <c r="N228" s="2" t="s">
        <v>5312</v>
      </c>
      <c r="O228" s="2"/>
      <c r="P228" s="2"/>
      <c r="Q228" s="2"/>
      <c r="R228" s="2"/>
      <c r="S228" s="2"/>
      <c r="T228" s="2">
        <v>78</v>
      </c>
      <c r="U228" s="2">
        <v>7</v>
      </c>
      <c r="V228" s="2" t="s">
        <v>5313</v>
      </c>
      <c r="W228" s="2"/>
      <c r="X228" s="2"/>
      <c r="Y228" s="2"/>
      <c r="Z228" s="2" t="s">
        <v>5314</v>
      </c>
      <c r="AA228" s="2" t="s">
        <v>5315</v>
      </c>
      <c r="AB228" s="2">
        <v>10</v>
      </c>
      <c r="AC228" s="2" t="s">
        <v>214</v>
      </c>
      <c r="AD228" s="2"/>
      <c r="AE228" s="2">
        <v>91</v>
      </c>
      <c r="AF228" s="2" t="s">
        <v>141</v>
      </c>
      <c r="AG228" s="2"/>
      <c r="AH228" s="2"/>
      <c r="AI228" s="2"/>
      <c r="AJ228" s="2"/>
      <c r="AK228" s="2" t="s">
        <v>1816</v>
      </c>
      <c r="AL228" s="2"/>
      <c r="AM228" s="2"/>
      <c r="AN228" s="2" t="s">
        <v>5316</v>
      </c>
      <c r="AO228" s="2" t="s">
        <v>5317</v>
      </c>
      <c r="AP228" s="2">
        <v>370225000</v>
      </c>
      <c r="AQ228" s="2">
        <v>370225000</v>
      </c>
      <c r="AR228" s="2" t="s">
        <v>253</v>
      </c>
      <c r="AS228" s="2">
        <v>84513967</v>
      </c>
      <c r="AT228" s="2" t="s">
        <v>5318</v>
      </c>
      <c r="AU228" s="2"/>
      <c r="AV228" s="2"/>
      <c r="AW228" s="2" t="s">
        <v>3517</v>
      </c>
      <c r="AX228" s="2">
        <v>93100538</v>
      </c>
      <c r="AY228" s="2" t="s">
        <v>5319</v>
      </c>
      <c r="AZ228" s="2" t="s">
        <v>5320</v>
      </c>
      <c r="BA228" s="2" t="s">
        <v>5321</v>
      </c>
      <c r="BB228" s="2">
        <v>0</v>
      </c>
      <c r="BC228" s="3" t="str">
        <f>HYPERLINK("https://patentscout.innography.com/share/Yjq3rWy5w7qolr4MMScZGQ%3D%3D","CN115514803")</f>
        <v>CN115514803</v>
      </c>
      <c r="BD228" s="2" t="s">
        <v>5322</v>
      </c>
      <c r="BE228" s="2"/>
      <c r="BF228" s="2" t="s">
        <v>5323</v>
      </c>
      <c r="BG228" s="2" t="str">
        <f>HYPERLINK("https://patentscout.innography.com/share/Yjq3rWy5w7qolr4MMScZGQ%3D%3D/download", "Download PDF")</f>
        <v>Download PDF</v>
      </c>
      <c r="BH228" s="2" t="s">
        <v>5324</v>
      </c>
      <c r="BI228" s="2"/>
      <c r="BJ228" s="2" t="s">
        <v>5319</v>
      </c>
      <c r="BK228" s="2" t="s">
        <v>5319</v>
      </c>
      <c r="BL228" s="2" t="s">
        <v>5319</v>
      </c>
      <c r="BM228" s="2"/>
      <c r="BN228" s="2"/>
      <c r="BO228" s="2"/>
      <c r="BP228" s="2"/>
      <c r="BQ228" s="2"/>
      <c r="BR228" s="2"/>
      <c r="BS228" s="2"/>
      <c r="BT228" s="2"/>
      <c r="BU228" s="2"/>
      <c r="BV228" s="2"/>
      <c r="BW228" s="2"/>
      <c r="BX228" s="2"/>
      <c r="BY228" s="2"/>
      <c r="BZ228" s="2"/>
      <c r="CA228" s="2"/>
      <c r="CB228" s="2"/>
      <c r="CC228" s="2" t="s">
        <v>1829</v>
      </c>
      <c r="CD228" s="2" t="str">
        <f>HYPERLINK("https://patentscout.innography.com/share/Yjq3rWy5w7qolr4MMScZGQ%3D%3D", "Innography Link")</f>
        <v>Innography Link</v>
      </c>
      <c r="CE228" s="2"/>
      <c r="CF228" s="2"/>
      <c r="CG228" s="2"/>
      <c r="CH228" s="2"/>
      <c r="CI228" s="2"/>
      <c r="CK228" s="2" t="s">
        <v>5325</v>
      </c>
      <c r="CL228" s="2" t="s">
        <v>5326</v>
      </c>
    </row>
    <row r="229" spans="1:96" ht="152" customHeight="1" x14ac:dyDescent="0.45">
      <c r="A229" s="2">
        <v>0</v>
      </c>
      <c r="B229" s="2">
        <v>0</v>
      </c>
      <c r="C229" s="2"/>
      <c r="D229" s="2"/>
      <c r="E229" s="2" t="s">
        <v>5327</v>
      </c>
      <c r="F229" s="2"/>
      <c r="G229" s="2" t="s">
        <v>5327</v>
      </c>
      <c r="H229" s="2" t="s">
        <v>5328</v>
      </c>
      <c r="I229" s="2" t="s">
        <v>5328</v>
      </c>
      <c r="J229" s="2" t="s">
        <v>5329</v>
      </c>
      <c r="K229" s="2" t="s">
        <v>5327</v>
      </c>
      <c r="L229" s="2" t="s">
        <v>5327</v>
      </c>
      <c r="M229" s="2" t="s">
        <v>5330</v>
      </c>
      <c r="N229" s="2" t="s">
        <v>5331</v>
      </c>
      <c r="O229" s="2"/>
      <c r="P229" s="2"/>
      <c r="Q229" s="2"/>
      <c r="R229" s="2"/>
      <c r="S229" s="2"/>
      <c r="T229" s="2">
        <v>78</v>
      </c>
      <c r="U229" s="2">
        <v>7</v>
      </c>
      <c r="V229" s="2" t="s">
        <v>5332</v>
      </c>
      <c r="W229" s="2"/>
      <c r="X229" s="2"/>
      <c r="Y229" s="2"/>
      <c r="Z229" s="2" t="s">
        <v>5333</v>
      </c>
      <c r="AA229" s="2" t="s">
        <v>5334</v>
      </c>
      <c r="AB229" s="2">
        <v>10</v>
      </c>
      <c r="AC229" s="2" t="s">
        <v>214</v>
      </c>
      <c r="AD229" s="2"/>
      <c r="AE229" s="2">
        <v>82</v>
      </c>
      <c r="AF229" s="2" t="s">
        <v>141</v>
      </c>
      <c r="AG229" s="2"/>
      <c r="AH229" s="2"/>
      <c r="AI229" s="2"/>
      <c r="AJ229" s="2"/>
      <c r="AK229" s="2" t="s">
        <v>1816</v>
      </c>
      <c r="AL229" s="2" t="s">
        <v>1034</v>
      </c>
      <c r="AM229" s="2" t="s">
        <v>1034</v>
      </c>
      <c r="AN229" s="2" t="s">
        <v>1035</v>
      </c>
      <c r="AO229" s="2" t="s">
        <v>5335</v>
      </c>
      <c r="AP229" s="2">
        <v>715701000</v>
      </c>
      <c r="AQ229" s="2">
        <v>715701000</v>
      </c>
      <c r="AR229" s="2" t="s">
        <v>253</v>
      </c>
      <c r="AS229" s="2">
        <v>83925702</v>
      </c>
      <c r="AT229" s="2" t="s">
        <v>5336</v>
      </c>
      <c r="AU229" s="2"/>
      <c r="AV229" s="2"/>
      <c r="AW229" s="2" t="s">
        <v>1821</v>
      </c>
      <c r="AX229" s="2">
        <v>92430138</v>
      </c>
      <c r="AY229" s="2" t="s">
        <v>5337</v>
      </c>
      <c r="AZ229" s="2" t="s">
        <v>5338</v>
      </c>
      <c r="BA229" s="2" t="s">
        <v>5339</v>
      </c>
      <c r="BB229" s="2">
        <v>0</v>
      </c>
      <c r="BC229" s="3" t="str">
        <f>HYPERLINK("https://patentscout.innography.com/share/_kyMwvVWm_b3H-30fkbyDQ%3D%3D","CN115328316")</f>
        <v>CN115328316</v>
      </c>
      <c r="BD229" s="2" t="s">
        <v>5340</v>
      </c>
      <c r="BE229" s="2" t="s">
        <v>5341</v>
      </c>
      <c r="BF229" s="2" t="s">
        <v>5342</v>
      </c>
      <c r="BG229" s="2" t="str">
        <f>HYPERLINK("https://patentscout.innography.com/share/_kyMwvVWm_b3H-30fkbyDQ%3D%3D/download", "Download PDF")</f>
        <v>Download PDF</v>
      </c>
      <c r="BH229" s="2" t="s">
        <v>5343</v>
      </c>
      <c r="BI229" s="2"/>
      <c r="BJ229" s="2" t="s">
        <v>5337</v>
      </c>
      <c r="BK229" s="2" t="s">
        <v>5337</v>
      </c>
      <c r="BL229" s="2" t="s">
        <v>5337</v>
      </c>
      <c r="BM229" s="2"/>
      <c r="BN229" s="2"/>
      <c r="BO229" s="2"/>
      <c r="BP229" s="2"/>
      <c r="BQ229" s="2"/>
      <c r="BR229" s="2"/>
      <c r="BS229" s="2"/>
      <c r="BT229" s="2"/>
      <c r="BU229" s="2"/>
      <c r="BV229" s="2"/>
      <c r="BW229" s="2"/>
      <c r="BX229" s="2"/>
      <c r="BY229" s="2"/>
      <c r="BZ229" s="2"/>
      <c r="CA229" s="2"/>
      <c r="CB229" s="2"/>
      <c r="CC229" s="2" t="s">
        <v>1829</v>
      </c>
      <c r="CD229" s="2" t="str">
        <f>HYPERLINK("https://patentscout.innography.com/share/_kyMwvVWm_b3H-30fkbyDQ%3D%3D", "Innography Link")</f>
        <v>Innography Link</v>
      </c>
      <c r="CE229" s="2"/>
      <c r="CF229" s="2"/>
      <c r="CG229" s="2"/>
      <c r="CH229" s="2"/>
      <c r="CI229" s="2"/>
      <c r="CK229" s="2" t="s">
        <v>5344</v>
      </c>
      <c r="CL229" s="2" t="s">
        <v>5345</v>
      </c>
    </row>
    <row r="230" spans="1:96" ht="152" customHeight="1" x14ac:dyDescent="0.45">
      <c r="A230" s="2">
        <v>2</v>
      </c>
      <c r="B230" s="2">
        <v>9</v>
      </c>
      <c r="C230" s="2"/>
      <c r="D230" s="2" t="s">
        <v>5346</v>
      </c>
      <c r="E230" s="2" t="s">
        <v>5347</v>
      </c>
      <c r="F230" s="2" t="s">
        <v>5348</v>
      </c>
      <c r="G230" s="2" t="s">
        <v>5348</v>
      </c>
      <c r="H230" s="2" t="s">
        <v>5349</v>
      </c>
      <c r="I230" s="2" t="s">
        <v>5350</v>
      </c>
      <c r="J230" s="2" t="s">
        <v>5351</v>
      </c>
      <c r="K230" s="2" t="s">
        <v>5352</v>
      </c>
      <c r="L230" s="2" t="s">
        <v>5352</v>
      </c>
      <c r="M230" s="2" t="s">
        <v>5353</v>
      </c>
      <c r="N230" s="2" t="s">
        <v>4192</v>
      </c>
      <c r="O230" s="2" t="s">
        <v>5354</v>
      </c>
      <c r="P230" s="2" t="s">
        <v>4194</v>
      </c>
      <c r="Q230" s="2" t="s">
        <v>4194</v>
      </c>
      <c r="R230" s="2" t="s">
        <v>4195</v>
      </c>
      <c r="S230" s="2" t="s">
        <v>4194</v>
      </c>
      <c r="T230" s="2">
        <v>75</v>
      </c>
      <c r="U230" s="2">
        <v>73</v>
      </c>
      <c r="V230" s="2" t="s">
        <v>5355</v>
      </c>
      <c r="W230" s="2"/>
      <c r="X230" s="2"/>
      <c r="Y230" s="2"/>
      <c r="Z230" s="2" t="s">
        <v>5356</v>
      </c>
      <c r="AA230" s="2" t="s">
        <v>5357</v>
      </c>
      <c r="AB230" s="2">
        <v>22</v>
      </c>
      <c r="AC230" s="2" t="s">
        <v>3878</v>
      </c>
      <c r="AD230" s="2" t="s">
        <v>5358</v>
      </c>
      <c r="AE230" s="2">
        <v>114</v>
      </c>
      <c r="AF230" s="2" t="s">
        <v>141</v>
      </c>
      <c r="AG230" s="2"/>
      <c r="AH230" s="2"/>
      <c r="AI230" s="2" t="s">
        <v>5359</v>
      </c>
      <c r="AJ230" s="2"/>
      <c r="AK230" s="2" t="s">
        <v>1816</v>
      </c>
      <c r="AL230" s="2" t="s">
        <v>5360</v>
      </c>
      <c r="AM230" s="2" t="s">
        <v>5361</v>
      </c>
      <c r="AN230" s="2" t="s">
        <v>5362</v>
      </c>
      <c r="AO230" s="2" t="s">
        <v>5363</v>
      </c>
      <c r="AP230" s="2">
        <v>713340000</v>
      </c>
      <c r="AQ230" s="2">
        <v>713340000</v>
      </c>
      <c r="AR230" s="2" t="s">
        <v>1406</v>
      </c>
      <c r="AS230" s="2">
        <v>59086474</v>
      </c>
      <c r="AT230" s="2" t="s">
        <v>5364</v>
      </c>
      <c r="AU230" s="2"/>
      <c r="AV230" s="2"/>
      <c r="AW230" s="2" t="s">
        <v>3879</v>
      </c>
      <c r="AX230" s="2">
        <v>54200791</v>
      </c>
      <c r="AY230" s="2" t="s">
        <v>5365</v>
      </c>
      <c r="AZ230" s="2" t="s">
        <v>5366</v>
      </c>
      <c r="BA230" s="2" t="s">
        <v>5367</v>
      </c>
      <c r="BB230" s="2">
        <v>0</v>
      </c>
      <c r="BC230" s="3" t="str">
        <f>HYPERLINK("https://patentscout.innography.com/share/bJPjMehQ-F-UO0CsPpnPQg%3D%3D","CN106919270")</f>
        <v>CN106919270</v>
      </c>
      <c r="BD230" s="2" t="s">
        <v>5368</v>
      </c>
      <c r="BE230" s="2" t="s">
        <v>5369</v>
      </c>
      <c r="BF230" s="2" t="s">
        <v>5370</v>
      </c>
      <c r="BG230" s="2" t="str">
        <f>HYPERLINK("https://patentscout.innography.com/share/bJPjMehQ-F-UO0CsPpnPQg%3D%3D/download", "Download PDF")</f>
        <v>Download PDF</v>
      </c>
      <c r="BH230" s="2" t="s">
        <v>5371</v>
      </c>
      <c r="BI230" s="2"/>
      <c r="BJ230" s="2" t="s">
        <v>5359</v>
      </c>
      <c r="BK230" s="2" t="s">
        <v>5372</v>
      </c>
      <c r="BL230" s="2" t="s">
        <v>5372</v>
      </c>
      <c r="BM230" s="2"/>
      <c r="BN230" s="2"/>
      <c r="BO230" s="2"/>
      <c r="BP230" s="2"/>
      <c r="BQ230" s="2"/>
      <c r="BR230" s="2"/>
      <c r="BS230" s="2"/>
      <c r="BT230" s="2"/>
      <c r="BU230" s="2"/>
      <c r="BV230" s="2" t="s">
        <v>4212</v>
      </c>
      <c r="BW230" s="2"/>
      <c r="BX230" s="2"/>
      <c r="BY230" s="2"/>
      <c r="BZ230" s="2"/>
      <c r="CA230" s="2"/>
      <c r="CB230" s="2"/>
      <c r="CC230" s="2" t="s">
        <v>3884</v>
      </c>
      <c r="CD230" s="2" t="str">
        <f>HYPERLINK("https://patentscout.innography.com/share/bJPjMehQ-F-UO0CsPpnPQg%3D%3D", "Innography Link")</f>
        <v>Innography Link</v>
      </c>
      <c r="CE230" s="2"/>
      <c r="CF230" s="2"/>
      <c r="CG230" s="2"/>
      <c r="CH230" s="2"/>
      <c r="CI230" s="2"/>
      <c r="CK230" s="2" t="s">
        <v>5373</v>
      </c>
      <c r="CL230" s="2" t="s">
        <v>5374</v>
      </c>
      <c r="CM230" s="2" t="s">
        <v>5375</v>
      </c>
      <c r="CN230" s="2" t="s">
        <v>5376</v>
      </c>
      <c r="CO230" s="2" t="s">
        <v>5377</v>
      </c>
      <c r="CP230" s="2" t="s">
        <v>5378</v>
      </c>
      <c r="CQ230" s="2" t="s">
        <v>5379</v>
      </c>
      <c r="CR230" s="2" t="s">
        <v>5380</v>
      </c>
    </row>
    <row r="231" spans="1:96" ht="152" customHeight="1" x14ac:dyDescent="0.45">
      <c r="A231" s="2">
        <v>1</v>
      </c>
      <c r="B231" s="2">
        <v>0</v>
      </c>
      <c r="C231" s="2"/>
      <c r="D231" s="2" t="s">
        <v>5381</v>
      </c>
      <c r="E231" s="2" t="s">
        <v>5382</v>
      </c>
      <c r="F231" s="2"/>
      <c r="G231" s="2" t="s">
        <v>5382</v>
      </c>
      <c r="H231" s="2" t="s">
        <v>5383</v>
      </c>
      <c r="I231" s="2" t="s">
        <v>552</v>
      </c>
      <c r="J231" s="2" t="s">
        <v>5384</v>
      </c>
      <c r="K231" s="2" t="s">
        <v>5382</v>
      </c>
      <c r="L231" s="2" t="s">
        <v>1539</v>
      </c>
      <c r="M231" s="2" t="s">
        <v>5385</v>
      </c>
      <c r="N231" s="2" t="s">
        <v>5386</v>
      </c>
      <c r="O231" s="2" t="s">
        <v>5387</v>
      </c>
      <c r="P231" s="2" t="s">
        <v>5388</v>
      </c>
      <c r="Q231" s="2" t="s">
        <v>5388</v>
      </c>
      <c r="R231" s="2" t="s">
        <v>5389</v>
      </c>
      <c r="S231" s="2" t="s">
        <v>5388</v>
      </c>
      <c r="T231" s="2">
        <v>74</v>
      </c>
      <c r="U231" s="2">
        <v>46</v>
      </c>
      <c r="V231" s="2" t="s">
        <v>5390</v>
      </c>
      <c r="W231" s="2" t="s">
        <v>533</v>
      </c>
      <c r="X231" s="2"/>
      <c r="Y231" s="2"/>
      <c r="Z231" s="2" t="s">
        <v>5391</v>
      </c>
      <c r="AA231" s="2" t="s">
        <v>5392</v>
      </c>
      <c r="AB231" s="2">
        <v>20</v>
      </c>
      <c r="AC231" s="2" t="s">
        <v>139</v>
      </c>
      <c r="AD231" s="2" t="s">
        <v>5393</v>
      </c>
      <c r="AE231" s="2">
        <v>190</v>
      </c>
      <c r="AF231" s="2" t="s">
        <v>141</v>
      </c>
      <c r="AG231" s="2"/>
      <c r="AH231" s="2"/>
      <c r="AI231" s="2"/>
      <c r="AJ231" s="2"/>
      <c r="AK231" s="2" t="s">
        <v>142</v>
      </c>
      <c r="AL231" s="2" t="s">
        <v>620</v>
      </c>
      <c r="AM231" s="2" t="s">
        <v>5394</v>
      </c>
      <c r="AN231" s="2" t="s">
        <v>5395</v>
      </c>
      <c r="AO231" s="2" t="s">
        <v>5396</v>
      </c>
      <c r="AP231" s="2">
        <v>706003000</v>
      </c>
      <c r="AQ231" s="2">
        <v>706003000</v>
      </c>
      <c r="AR231" s="2" t="s">
        <v>275</v>
      </c>
      <c r="AS231" s="2">
        <v>83901576</v>
      </c>
      <c r="AT231" s="2" t="s">
        <v>5397</v>
      </c>
      <c r="AU231" s="2"/>
      <c r="AV231" s="2"/>
      <c r="AW231" s="2" t="s">
        <v>148</v>
      </c>
      <c r="AX231" s="2">
        <v>55186114</v>
      </c>
      <c r="AY231" s="2" t="s">
        <v>5398</v>
      </c>
      <c r="AZ231" s="2" t="s">
        <v>5399</v>
      </c>
      <c r="BA231" s="2" t="s">
        <v>5400</v>
      </c>
      <c r="BB231" s="2">
        <v>0</v>
      </c>
      <c r="BC231" s="3" t="str">
        <f>HYPERLINK("https://patentscout.innography.com/share/Nh-FS8I03rLXJoi7KLaJ3w%3D%3D","US20220358344")</f>
        <v>US20220358344</v>
      </c>
      <c r="BD231" s="2" t="s">
        <v>5401</v>
      </c>
      <c r="BE231" s="2" t="s">
        <v>5402</v>
      </c>
      <c r="BF231" s="2" t="s">
        <v>5403</v>
      </c>
      <c r="BG231" s="2" t="str">
        <f>HYPERLINK("https://patentscout.innography.com/share/Nh-FS8I03rLXJoi7KLaJ3w%3D%3D/download", "Download PDF")</f>
        <v>Download PDF</v>
      </c>
      <c r="BH231" s="2" t="s">
        <v>5404</v>
      </c>
      <c r="BI231" s="2"/>
      <c r="BJ231" s="2" t="s">
        <v>5405</v>
      </c>
      <c r="BK231" s="2" t="s">
        <v>5405</v>
      </c>
      <c r="BL231" s="2" t="s">
        <v>5406</v>
      </c>
      <c r="BM231" s="2"/>
      <c r="BN231" s="2"/>
      <c r="BO231" s="2"/>
      <c r="BP231" s="2"/>
      <c r="BQ231" s="2"/>
      <c r="BR231" s="2"/>
      <c r="BS231" s="2"/>
      <c r="BT231" s="2"/>
      <c r="BU231" s="2"/>
      <c r="BV231" s="2"/>
      <c r="BW231" s="2"/>
      <c r="BX231" s="2"/>
      <c r="BY231" s="2"/>
      <c r="BZ231" s="2"/>
      <c r="CA231" s="2"/>
      <c r="CB231" s="2"/>
      <c r="CC231" s="2" t="s">
        <v>158</v>
      </c>
      <c r="CD231" s="2" t="str">
        <f>HYPERLINK("https://patentscout.innography.com/share/Nh-FS8I03rLXJoi7KLaJ3w%3D%3D", "Innography Link")</f>
        <v>Innography Link</v>
      </c>
      <c r="CE231" s="2"/>
      <c r="CF231" s="2"/>
      <c r="CG231" s="2"/>
      <c r="CH231" s="2"/>
      <c r="CI231" s="2"/>
      <c r="CK231" s="2" t="s">
        <v>5407</v>
      </c>
      <c r="CL231" s="2" t="s">
        <v>5408</v>
      </c>
      <c r="CM231" s="2" t="s">
        <v>5409</v>
      </c>
    </row>
    <row r="232" spans="1:96" ht="152" customHeight="1" x14ac:dyDescent="0.45">
      <c r="A232" s="2">
        <v>71</v>
      </c>
      <c r="B232" s="2">
        <v>11</v>
      </c>
      <c r="C232" s="2" t="s">
        <v>5410</v>
      </c>
      <c r="D232" s="2" t="s">
        <v>5411</v>
      </c>
      <c r="E232" s="2" t="s">
        <v>5412</v>
      </c>
      <c r="F232" s="2" t="s">
        <v>5413</v>
      </c>
      <c r="G232" s="2" t="s">
        <v>5412</v>
      </c>
      <c r="H232" s="2" t="s">
        <v>4433</v>
      </c>
      <c r="I232" s="2" t="s">
        <v>4434</v>
      </c>
      <c r="J232" s="2" t="s">
        <v>5413</v>
      </c>
      <c r="K232" s="2" t="s">
        <v>5412</v>
      </c>
      <c r="L232" s="2" t="s">
        <v>4316</v>
      </c>
      <c r="M232" s="2" t="s">
        <v>5414</v>
      </c>
      <c r="N232" s="2" t="s">
        <v>5415</v>
      </c>
      <c r="O232" s="2"/>
      <c r="P232" s="2" t="s">
        <v>4320</v>
      </c>
      <c r="Q232" s="2" t="s">
        <v>4321</v>
      </c>
      <c r="R232" s="2" t="s">
        <v>4321</v>
      </c>
      <c r="S232" s="2" t="s">
        <v>4322</v>
      </c>
      <c r="T232" s="2">
        <v>74</v>
      </c>
      <c r="U232" s="2">
        <v>63</v>
      </c>
      <c r="V232" s="2" t="s">
        <v>5416</v>
      </c>
      <c r="W232" s="2" t="s">
        <v>4438</v>
      </c>
      <c r="X232" s="2">
        <v>3715</v>
      </c>
      <c r="Y232" s="2" t="s">
        <v>3955</v>
      </c>
      <c r="Z232" s="2" t="s">
        <v>5417</v>
      </c>
      <c r="AA232" s="2" t="s">
        <v>5418</v>
      </c>
      <c r="AB232" s="2">
        <v>20</v>
      </c>
      <c r="AC232" s="2" t="s">
        <v>139</v>
      </c>
      <c r="AD232" s="2" t="s">
        <v>4327</v>
      </c>
      <c r="AE232" s="2">
        <v>70</v>
      </c>
      <c r="AF232" s="2" t="s">
        <v>180</v>
      </c>
      <c r="AG232" s="2"/>
      <c r="AH232" s="2"/>
      <c r="AI232" s="2" t="s">
        <v>5419</v>
      </c>
      <c r="AJ232" s="2"/>
      <c r="AK232" s="2" t="s">
        <v>142</v>
      </c>
      <c r="AL232" s="2" t="s">
        <v>691</v>
      </c>
      <c r="AM232" s="2" t="s">
        <v>5420</v>
      </c>
      <c r="AN232" s="2" t="s">
        <v>300</v>
      </c>
      <c r="AO232" s="2" t="s">
        <v>300</v>
      </c>
      <c r="AP232" s="2">
        <v>463042000</v>
      </c>
      <c r="AQ232" s="2">
        <v>463042000</v>
      </c>
      <c r="AR232" s="2" t="s">
        <v>514</v>
      </c>
      <c r="AS232" s="2">
        <v>39498797</v>
      </c>
      <c r="AT232" s="2" t="s">
        <v>5421</v>
      </c>
      <c r="AU232" s="2"/>
      <c r="AV232" s="2"/>
      <c r="AW232" s="2" t="s">
        <v>303</v>
      </c>
      <c r="AX232" s="2">
        <v>4262312</v>
      </c>
      <c r="AY232" s="2" t="s">
        <v>4330</v>
      </c>
      <c r="AZ232" s="2" t="s">
        <v>5422</v>
      </c>
      <c r="BA232" s="2" t="s">
        <v>5423</v>
      </c>
      <c r="BB232" s="2">
        <v>0</v>
      </c>
      <c r="BC232" s="3" t="str">
        <f>HYPERLINK("https://patentscout.innography.com/share/6bkj0fbSHjPQO33sEdKeXQ%3D%3D","US20080139318")</f>
        <v>US20080139318</v>
      </c>
      <c r="BD232" s="2" t="s">
        <v>5424</v>
      </c>
      <c r="BE232" s="2" t="s">
        <v>5425</v>
      </c>
      <c r="BF232" s="2" t="s">
        <v>5426</v>
      </c>
      <c r="BG232" s="2" t="str">
        <f>HYPERLINK("https://patentscout.innography.com/share/6bkj0fbSHjPQO33sEdKeXQ%3D%3D/download", "Download PDF")</f>
        <v>Download PDF</v>
      </c>
      <c r="BH232" s="2" t="s">
        <v>5427</v>
      </c>
      <c r="BI232" s="2"/>
      <c r="BJ232" s="2" t="s">
        <v>5428</v>
      </c>
      <c r="BK232" s="2" t="s">
        <v>5428</v>
      </c>
      <c r="BL232" s="2" t="s">
        <v>4338</v>
      </c>
      <c r="BM232" s="2" t="s">
        <v>313</v>
      </c>
      <c r="BN232" s="2"/>
      <c r="BO232" s="2" t="s">
        <v>5429</v>
      </c>
      <c r="BP232" s="2"/>
      <c r="BQ232" s="2"/>
      <c r="BR232" s="2" t="s">
        <v>5430</v>
      </c>
      <c r="BS232" s="2" t="s">
        <v>5431</v>
      </c>
      <c r="BT232" s="2" t="s">
        <v>5432</v>
      </c>
      <c r="BU232" s="2"/>
      <c r="BV232" s="2"/>
      <c r="BW232" s="2" t="s">
        <v>204</v>
      </c>
      <c r="BX232" s="2"/>
      <c r="BY232" s="2"/>
      <c r="BZ232" s="2"/>
      <c r="CA232" s="2"/>
      <c r="CB232" s="2"/>
      <c r="CC232" s="2" t="s">
        <v>158</v>
      </c>
      <c r="CD232" s="2" t="str">
        <f>HYPERLINK("https://patentscout.innography.com/share/6bkj0fbSHjPQO33sEdKeXQ%3D%3D", "Innography Link")</f>
        <v>Innography Link</v>
      </c>
      <c r="CE232" s="2"/>
      <c r="CF232" s="2"/>
      <c r="CG232" s="2"/>
      <c r="CH232" s="2"/>
      <c r="CI232" s="2"/>
      <c r="CK232" s="2" t="s">
        <v>5433</v>
      </c>
      <c r="CL232" s="2" t="s">
        <v>5434</v>
      </c>
    </row>
    <row r="233" spans="1:96" ht="152" customHeight="1" x14ac:dyDescent="0.45">
      <c r="A233" s="2">
        <v>0</v>
      </c>
      <c r="B233" s="2">
        <v>0</v>
      </c>
      <c r="C233" s="2"/>
      <c r="D233" s="2"/>
      <c r="E233" s="2" t="s">
        <v>4217</v>
      </c>
      <c r="F233" s="2" t="s">
        <v>4218</v>
      </c>
      <c r="G233" s="2" t="s">
        <v>4217</v>
      </c>
      <c r="H233" s="2" t="s">
        <v>4219</v>
      </c>
      <c r="I233" s="2" t="s">
        <v>4219</v>
      </c>
      <c r="J233" s="2" t="s">
        <v>4218</v>
      </c>
      <c r="K233" s="2" t="s">
        <v>4221</v>
      </c>
      <c r="L233" s="2" t="s">
        <v>4221</v>
      </c>
      <c r="M233" s="2" t="s">
        <v>5435</v>
      </c>
      <c r="N233" s="2" t="s">
        <v>4223</v>
      </c>
      <c r="O233" s="2" t="s">
        <v>5436</v>
      </c>
      <c r="P233" s="2" t="s">
        <v>173</v>
      </c>
      <c r="Q233" s="2" t="s">
        <v>173</v>
      </c>
      <c r="R233" s="2" t="s">
        <v>173</v>
      </c>
      <c r="S233" s="2" t="s">
        <v>173</v>
      </c>
      <c r="T233" s="2">
        <v>74</v>
      </c>
      <c r="U233" s="2">
        <v>9</v>
      </c>
      <c r="V233" s="2" t="s">
        <v>4225</v>
      </c>
      <c r="W233" s="2"/>
      <c r="X233" s="2"/>
      <c r="Y233" s="2"/>
      <c r="Z233" s="2" t="s">
        <v>5437</v>
      </c>
      <c r="AA233" s="2" t="s">
        <v>5438</v>
      </c>
      <c r="AB233" s="2">
        <v>15</v>
      </c>
      <c r="AC233" s="2" t="s">
        <v>214</v>
      </c>
      <c r="AD233" s="2" t="s">
        <v>5439</v>
      </c>
      <c r="AE233" s="2">
        <v>61</v>
      </c>
      <c r="AF233" s="2" t="s">
        <v>180</v>
      </c>
      <c r="AG233" s="2"/>
      <c r="AH233" s="2"/>
      <c r="AI233" s="2" t="s">
        <v>5440</v>
      </c>
      <c r="AJ233" s="2"/>
      <c r="AK233" s="2" t="s">
        <v>217</v>
      </c>
      <c r="AL233" s="2" t="s">
        <v>4229</v>
      </c>
      <c r="AM233" s="2" t="s">
        <v>4230</v>
      </c>
      <c r="AN233" s="2" t="s">
        <v>359</v>
      </c>
      <c r="AO233" s="2" t="s">
        <v>4231</v>
      </c>
      <c r="AP233" s="2">
        <v>705348000</v>
      </c>
      <c r="AQ233" s="2">
        <v>705348000</v>
      </c>
      <c r="AR233" s="2" t="s">
        <v>253</v>
      </c>
      <c r="AS233" s="2">
        <v>54366952</v>
      </c>
      <c r="AT233" s="2" t="s">
        <v>4232</v>
      </c>
      <c r="AU233" s="2"/>
      <c r="AV233" s="2"/>
      <c r="AW233" s="2" t="s">
        <v>1259</v>
      </c>
      <c r="AX233" s="2">
        <v>47260729</v>
      </c>
      <c r="AY233" s="2" t="s">
        <v>4234</v>
      </c>
      <c r="AZ233" s="2" t="s">
        <v>4235</v>
      </c>
      <c r="BA233" s="2" t="s">
        <v>5441</v>
      </c>
      <c r="BB233" s="2">
        <v>0</v>
      </c>
      <c r="BC233" s="3" t="str">
        <f>HYPERLINK("https://patentscout.innography.com/share/hRTsHenlAlBhfMrkNgNn-g%3D%3D","KR20150129957")</f>
        <v>KR20150129957</v>
      </c>
      <c r="BD233" s="2" t="s">
        <v>5442</v>
      </c>
      <c r="BE233" s="2" t="s">
        <v>4238</v>
      </c>
      <c r="BF233" s="2" t="s">
        <v>5443</v>
      </c>
      <c r="BG233" s="2" t="str">
        <f>HYPERLINK("https://patentscout.innography.com/share/hRTsHenlAlBhfMrkNgNn-g%3D%3D/download", "Download PDF")</f>
        <v>Download PDF</v>
      </c>
      <c r="BH233" s="2" t="s">
        <v>5444</v>
      </c>
      <c r="BI233" s="2"/>
      <c r="BJ233" s="2" t="s">
        <v>4228</v>
      </c>
      <c r="BK233" s="2" t="s">
        <v>4228</v>
      </c>
      <c r="BL233" s="2" t="s">
        <v>4228</v>
      </c>
      <c r="BM233" s="2"/>
      <c r="BN233" s="2"/>
      <c r="BO233" s="2"/>
      <c r="BP233" s="2"/>
      <c r="BQ233" s="2"/>
      <c r="BR233" s="2"/>
      <c r="BS233" s="2"/>
      <c r="BT233" s="2"/>
      <c r="BU233" s="2" t="s">
        <v>4241</v>
      </c>
      <c r="BV233" s="2" t="s">
        <v>5445</v>
      </c>
      <c r="BW233" s="2"/>
      <c r="BX233" s="2"/>
      <c r="BY233" s="2"/>
      <c r="BZ233" s="2"/>
      <c r="CA233" s="2"/>
      <c r="CB233" s="2"/>
      <c r="CC233" s="2" t="s">
        <v>228</v>
      </c>
      <c r="CD233" s="2" t="str">
        <f>HYPERLINK("https://patentscout.innography.com/share/hRTsHenlAlBhfMrkNgNn-g%3D%3D", "Innography Link")</f>
        <v>Innography Link</v>
      </c>
      <c r="CE233" s="2"/>
      <c r="CF233" s="2"/>
      <c r="CG233" s="2"/>
      <c r="CH233" s="2"/>
      <c r="CI233" s="2"/>
      <c r="CK233" s="2" t="s">
        <v>5446</v>
      </c>
      <c r="CL233" s="2" t="s">
        <v>5447</v>
      </c>
      <c r="CM233" s="2" t="s">
        <v>5448</v>
      </c>
      <c r="CN233" s="2" t="s">
        <v>5449</v>
      </c>
    </row>
    <row r="234" spans="1:96" ht="152" customHeight="1" x14ac:dyDescent="0.45">
      <c r="A234" s="2">
        <v>24</v>
      </c>
      <c r="B234" s="2">
        <v>10</v>
      </c>
      <c r="C234" s="2" t="s">
        <v>5450</v>
      </c>
      <c r="D234" s="2" t="s">
        <v>5451</v>
      </c>
      <c r="E234" s="2" t="s">
        <v>4431</v>
      </c>
      <c r="F234" s="2" t="s">
        <v>5452</v>
      </c>
      <c r="G234" s="2" t="s">
        <v>4431</v>
      </c>
      <c r="H234" s="2" t="s">
        <v>5453</v>
      </c>
      <c r="I234" s="2" t="s">
        <v>5453</v>
      </c>
      <c r="J234" s="2" t="s">
        <v>5452</v>
      </c>
      <c r="K234" s="2" t="s">
        <v>5454</v>
      </c>
      <c r="L234" s="2" t="s">
        <v>5454</v>
      </c>
      <c r="M234" s="2" t="s">
        <v>5455</v>
      </c>
      <c r="N234" s="2" t="s">
        <v>5456</v>
      </c>
      <c r="O234" s="2" t="s">
        <v>5457</v>
      </c>
      <c r="P234" s="2" t="s">
        <v>5458</v>
      </c>
      <c r="Q234" s="2" t="s">
        <v>1396</v>
      </c>
      <c r="R234" s="2" t="s">
        <v>5459</v>
      </c>
      <c r="S234" s="2" t="s">
        <v>1396</v>
      </c>
      <c r="T234" s="2">
        <v>74</v>
      </c>
      <c r="U234" s="2">
        <v>63</v>
      </c>
      <c r="V234" s="2" t="s">
        <v>5460</v>
      </c>
      <c r="W234" s="2" t="s">
        <v>5461</v>
      </c>
      <c r="X234" s="2">
        <v>2876</v>
      </c>
      <c r="Y234" s="2" t="s">
        <v>5462</v>
      </c>
      <c r="Z234" s="2" t="s">
        <v>5463</v>
      </c>
      <c r="AA234" s="2" t="s">
        <v>5464</v>
      </c>
      <c r="AB234" s="2">
        <v>20</v>
      </c>
      <c r="AC234" s="2" t="s">
        <v>139</v>
      </c>
      <c r="AD234" s="2" t="s">
        <v>5465</v>
      </c>
      <c r="AE234" s="2">
        <v>83</v>
      </c>
      <c r="AF234" s="2" t="s">
        <v>180</v>
      </c>
      <c r="AG234" s="2"/>
      <c r="AH234" s="2"/>
      <c r="AI234" s="2" t="s">
        <v>5466</v>
      </c>
      <c r="AJ234" s="2"/>
      <c r="AK234" s="2" t="s">
        <v>142</v>
      </c>
      <c r="AL234" s="2" t="s">
        <v>5467</v>
      </c>
      <c r="AM234" s="2" t="s">
        <v>5468</v>
      </c>
      <c r="AN234" s="2" t="s">
        <v>5281</v>
      </c>
      <c r="AO234" s="2" t="s">
        <v>5469</v>
      </c>
      <c r="AP234" s="2">
        <v>235375000</v>
      </c>
      <c r="AQ234" s="2">
        <v>235375000</v>
      </c>
      <c r="AR234" s="2" t="s">
        <v>514</v>
      </c>
      <c r="AS234" s="2">
        <v>38475180</v>
      </c>
      <c r="AT234" s="2" t="s">
        <v>5470</v>
      </c>
      <c r="AU234" s="2"/>
      <c r="AV234" s="2"/>
      <c r="AW234" s="2" t="s">
        <v>148</v>
      </c>
      <c r="AX234" s="2">
        <v>4397515</v>
      </c>
      <c r="AY234" s="2" t="s">
        <v>5471</v>
      </c>
      <c r="AZ234" s="2" t="s">
        <v>5472</v>
      </c>
      <c r="BA234" s="2" t="s">
        <v>5473</v>
      </c>
      <c r="BB234" s="2">
        <v>0</v>
      </c>
      <c r="BC234" s="3" t="str">
        <f>HYPERLINK("https://patentscout.innography.com/share/YgpBh0-k6Yl88NEG3x89og%3D%3D","US20070215683")</f>
        <v>US20070215683</v>
      </c>
      <c r="BD234" s="2" t="s">
        <v>5474</v>
      </c>
      <c r="BE234" s="2" t="s">
        <v>5475</v>
      </c>
      <c r="BF234" s="2" t="s">
        <v>5476</v>
      </c>
      <c r="BG234" s="2" t="str">
        <f>HYPERLINK("https://patentscout.innography.com/share/YgpBh0-k6Yl88NEG3x89og%3D%3D/download", "Download PDF")</f>
        <v>Download PDF</v>
      </c>
      <c r="BH234" s="2" t="s">
        <v>5477</v>
      </c>
      <c r="BI234" s="2"/>
      <c r="BJ234" s="2" t="s">
        <v>5478</v>
      </c>
      <c r="BK234" s="2" t="s">
        <v>5478</v>
      </c>
      <c r="BL234" s="2" t="s">
        <v>5478</v>
      </c>
      <c r="BM234" s="2"/>
      <c r="BN234" s="2" t="s">
        <v>5479</v>
      </c>
      <c r="BO234" s="2"/>
      <c r="BP234" s="2"/>
      <c r="BQ234" s="2" t="s">
        <v>5480</v>
      </c>
      <c r="BR234" s="2"/>
      <c r="BS234" s="2"/>
      <c r="BT234" s="2" t="s">
        <v>679</v>
      </c>
      <c r="BU234" s="2"/>
      <c r="BV234" s="2"/>
      <c r="BW234" s="2" t="s">
        <v>318</v>
      </c>
      <c r="BX234" s="2"/>
      <c r="BY234" s="2"/>
      <c r="BZ234" s="2"/>
      <c r="CA234" s="2"/>
      <c r="CB234" s="2"/>
      <c r="CC234" s="2" t="s">
        <v>158</v>
      </c>
      <c r="CD234" s="2" t="str">
        <f>HYPERLINK("https://patentscout.innography.com/share/YgpBh0-k6Yl88NEG3x89og%3D%3D", "Innography Link")</f>
        <v>Innography Link</v>
      </c>
      <c r="CE234" s="2"/>
      <c r="CF234" s="2"/>
      <c r="CG234" s="2"/>
      <c r="CH234" s="2"/>
      <c r="CI234" s="2"/>
      <c r="CK234" s="2" t="s">
        <v>5481</v>
      </c>
      <c r="CL234" s="2" t="s">
        <v>5482</v>
      </c>
      <c r="CM234" s="2" t="s">
        <v>5483</v>
      </c>
    </row>
    <row r="235" spans="1:96" ht="152" customHeight="1" x14ac:dyDescent="0.45">
      <c r="A235" s="2">
        <v>0</v>
      </c>
      <c r="B235" s="2">
        <v>5</v>
      </c>
      <c r="C235" s="2" t="s">
        <v>5484</v>
      </c>
      <c r="D235" s="2"/>
      <c r="E235" s="2" t="s">
        <v>5454</v>
      </c>
      <c r="F235" s="2"/>
      <c r="G235" s="2" t="s">
        <v>5454</v>
      </c>
      <c r="H235" s="2" t="s">
        <v>5453</v>
      </c>
      <c r="I235" s="2" t="s">
        <v>5485</v>
      </c>
      <c r="J235" s="2" t="s">
        <v>5486</v>
      </c>
      <c r="K235" s="2" t="s">
        <v>5454</v>
      </c>
      <c r="L235" s="2" t="s">
        <v>5454</v>
      </c>
      <c r="M235" s="2" t="s">
        <v>5455</v>
      </c>
      <c r="N235" s="2" t="s">
        <v>5456</v>
      </c>
      <c r="O235" s="2" t="s">
        <v>5457</v>
      </c>
      <c r="P235" s="2" t="s">
        <v>1396</v>
      </c>
      <c r="Q235" s="2" t="s">
        <v>1396</v>
      </c>
      <c r="R235" s="2" t="s">
        <v>1396</v>
      </c>
      <c r="S235" s="2" t="s">
        <v>1396</v>
      </c>
      <c r="T235" s="2">
        <v>74</v>
      </c>
      <c r="U235" s="2">
        <v>8</v>
      </c>
      <c r="V235" s="2" t="s">
        <v>5487</v>
      </c>
      <c r="W235" s="2"/>
      <c r="X235" s="2"/>
      <c r="Y235" s="2"/>
      <c r="Z235" s="2" t="s">
        <v>5488</v>
      </c>
      <c r="AA235" s="2" t="s">
        <v>5489</v>
      </c>
      <c r="AB235" s="2">
        <v>20</v>
      </c>
      <c r="AC235" s="2" t="s">
        <v>139</v>
      </c>
      <c r="AD235" s="2" t="s">
        <v>5490</v>
      </c>
      <c r="AE235" s="2">
        <v>84</v>
      </c>
      <c r="AF235" s="2" t="s">
        <v>180</v>
      </c>
      <c r="AG235" s="2" t="s">
        <v>5491</v>
      </c>
      <c r="AH235" s="2"/>
      <c r="AI235" s="2"/>
      <c r="AJ235" s="2"/>
      <c r="AK235" s="2" t="s">
        <v>619</v>
      </c>
      <c r="AL235" s="2" t="s">
        <v>5467</v>
      </c>
      <c r="AM235" s="2" t="s">
        <v>5468</v>
      </c>
      <c r="AN235" s="2" t="s">
        <v>5492</v>
      </c>
      <c r="AO235" s="2" t="s">
        <v>5493</v>
      </c>
      <c r="AP235" s="2">
        <v>705317000</v>
      </c>
      <c r="AQ235" s="2">
        <v>705317000</v>
      </c>
      <c r="AR235" s="2" t="s">
        <v>253</v>
      </c>
      <c r="AS235" s="2">
        <v>38475180</v>
      </c>
      <c r="AT235" s="2" t="s">
        <v>5470</v>
      </c>
      <c r="AU235" s="2"/>
      <c r="AV235" s="2"/>
      <c r="AW235" s="2" t="s">
        <v>624</v>
      </c>
      <c r="AX235" s="2">
        <v>4397515</v>
      </c>
      <c r="AY235" s="2" t="s">
        <v>5471</v>
      </c>
      <c r="AZ235" s="2" t="s">
        <v>5494</v>
      </c>
      <c r="BA235" s="2" t="s">
        <v>5495</v>
      </c>
      <c r="BB235" s="2">
        <v>0</v>
      </c>
      <c r="BC235" s="3" t="str">
        <f>HYPERLINK("https://patentscout.innography.com/share/cIZl3258_5R3OuVIJBEuRg%3D%3D","WO2007102966")</f>
        <v>WO2007102966</v>
      </c>
      <c r="BD235" s="2" t="s">
        <v>5496</v>
      </c>
      <c r="BE235" s="2" t="s">
        <v>5497</v>
      </c>
      <c r="BF235" s="2" t="s">
        <v>5498</v>
      </c>
      <c r="BG235" s="2" t="str">
        <f>HYPERLINK("https://patentscout.innography.com/share/cIZl3258_5R3OuVIJBEuRg%3D%3D/download", "Download PDF")</f>
        <v>Download PDF</v>
      </c>
      <c r="BH235" s="2" t="s">
        <v>5499</v>
      </c>
      <c r="BI235" s="2"/>
      <c r="BJ235" s="2" t="s">
        <v>5500</v>
      </c>
      <c r="BK235" s="2" t="s">
        <v>5478</v>
      </c>
      <c r="BL235" s="2" t="s">
        <v>5478</v>
      </c>
      <c r="BM235" s="2"/>
      <c r="BN235" s="2"/>
      <c r="BO235" s="2"/>
      <c r="BP235" s="2"/>
      <c r="BQ235" s="2"/>
      <c r="BR235" s="2"/>
      <c r="BS235" s="2"/>
      <c r="BT235" s="2"/>
      <c r="BU235" s="2"/>
      <c r="BV235" s="2"/>
      <c r="BW235" s="2"/>
      <c r="BX235" s="2"/>
      <c r="BY235" s="2"/>
      <c r="BZ235" s="2"/>
      <c r="CA235" s="2"/>
      <c r="CB235" s="2"/>
      <c r="CC235" s="2" t="s">
        <v>635</v>
      </c>
      <c r="CD235" s="2" t="str">
        <f>HYPERLINK("https://patentscout.innography.com/share/cIZl3258_5R3OuVIJBEuRg%3D%3D", "Innography Link")</f>
        <v>Innography Link</v>
      </c>
      <c r="CE235" s="2"/>
      <c r="CF235" s="2"/>
      <c r="CG235" s="2"/>
      <c r="CH235" s="2"/>
      <c r="CI235" s="2"/>
      <c r="CK235" s="2" t="s">
        <v>5501</v>
      </c>
      <c r="CL235" s="2" t="s">
        <v>5502</v>
      </c>
      <c r="CM235" s="2" t="s">
        <v>5503</v>
      </c>
    </row>
    <row r="236" spans="1:96" ht="152" customHeight="1" x14ac:dyDescent="0.45">
      <c r="A236" s="2">
        <v>0</v>
      </c>
      <c r="B236" s="2">
        <v>0</v>
      </c>
      <c r="C236" s="2"/>
      <c r="D236" s="2"/>
      <c r="E236" s="2" t="s">
        <v>5504</v>
      </c>
      <c r="F236" s="2"/>
      <c r="G236" s="2" t="s">
        <v>5504</v>
      </c>
      <c r="H236" s="2" t="s">
        <v>5453</v>
      </c>
      <c r="I236" s="2" t="s">
        <v>5485</v>
      </c>
      <c r="J236" s="2" t="s">
        <v>5505</v>
      </c>
      <c r="K236" s="2" t="s">
        <v>5454</v>
      </c>
      <c r="L236" s="2" t="s">
        <v>5454</v>
      </c>
      <c r="M236" s="2" t="s">
        <v>5455</v>
      </c>
      <c r="N236" s="2" t="s">
        <v>5456</v>
      </c>
      <c r="O236" s="2" t="s">
        <v>5457</v>
      </c>
      <c r="P236" s="2" t="s">
        <v>1396</v>
      </c>
      <c r="Q236" s="2" t="s">
        <v>1396</v>
      </c>
      <c r="R236" s="2" t="s">
        <v>1396</v>
      </c>
      <c r="S236" s="2" t="s">
        <v>1396</v>
      </c>
      <c r="T236" s="2">
        <v>74</v>
      </c>
      <c r="U236" s="2">
        <v>15</v>
      </c>
      <c r="V236" s="2" t="s">
        <v>5506</v>
      </c>
      <c r="W236" s="2"/>
      <c r="X236" s="2"/>
      <c r="Y236" s="2"/>
      <c r="Z236" s="2" t="s">
        <v>5488</v>
      </c>
      <c r="AA236" s="2" t="s">
        <v>5489</v>
      </c>
      <c r="AB236" s="2">
        <v>20</v>
      </c>
      <c r="AC236" s="2" t="s">
        <v>139</v>
      </c>
      <c r="AD236" s="2" t="s">
        <v>5490</v>
      </c>
      <c r="AE236" s="2">
        <v>84</v>
      </c>
      <c r="AF236" s="2" t="s">
        <v>180</v>
      </c>
      <c r="AG236" s="2" t="s">
        <v>5507</v>
      </c>
      <c r="AH236" s="2"/>
      <c r="AI236" s="2"/>
      <c r="AJ236" s="2"/>
      <c r="AK236" s="2" t="s">
        <v>3720</v>
      </c>
      <c r="AL236" s="2" t="s">
        <v>5467</v>
      </c>
      <c r="AM236" s="2" t="s">
        <v>5468</v>
      </c>
      <c r="AN236" s="2" t="s">
        <v>5508</v>
      </c>
      <c r="AO236" s="2" t="s">
        <v>5509</v>
      </c>
      <c r="AP236" s="2">
        <v>705317000</v>
      </c>
      <c r="AQ236" s="2">
        <v>705317000</v>
      </c>
      <c r="AR236" s="2" t="s">
        <v>541</v>
      </c>
      <c r="AS236" s="2">
        <v>38475180</v>
      </c>
      <c r="AT236" s="2" t="s">
        <v>5470</v>
      </c>
      <c r="AU236" s="2"/>
      <c r="AV236" s="2"/>
      <c r="AW236" s="2" t="s">
        <v>5510</v>
      </c>
      <c r="AX236" s="2">
        <v>4397515</v>
      </c>
      <c r="AY236" s="2" t="s">
        <v>5471</v>
      </c>
      <c r="AZ236" s="2" t="s">
        <v>5511</v>
      </c>
      <c r="BA236" s="2" t="s">
        <v>255</v>
      </c>
      <c r="BB236" s="2">
        <v>0</v>
      </c>
      <c r="BC236" s="3" t="str">
        <f>HYPERLINK("https://patentscout.innography.com/share/HqgxCe4yBeVhY04kdy4dOg%3D%3D","EP1999714")</f>
        <v>EP1999714</v>
      </c>
      <c r="BD236" s="2" t="s">
        <v>5512</v>
      </c>
      <c r="BE236" s="2" t="s">
        <v>5513</v>
      </c>
      <c r="BF236" s="2" t="s">
        <v>5514</v>
      </c>
      <c r="BG236" s="2" t="str">
        <f>HYPERLINK("https://patentscout.innography.com/share/HqgxCe4yBeVhY04kdy4dOg%3D%3D/download", "Download PDF")</f>
        <v>Download PDF</v>
      </c>
      <c r="BH236" s="2" t="s">
        <v>5515</v>
      </c>
      <c r="BI236" s="2" t="s">
        <v>5516</v>
      </c>
      <c r="BJ236" s="2" t="s">
        <v>5517</v>
      </c>
      <c r="BK236" s="2" t="s">
        <v>5478</v>
      </c>
      <c r="BL236" s="2" t="s">
        <v>5478</v>
      </c>
      <c r="BM236" s="2"/>
      <c r="BN236" s="2"/>
      <c r="BO236" s="2"/>
      <c r="BP236" s="2"/>
      <c r="BQ236" s="2"/>
      <c r="BR236" s="2"/>
      <c r="BS236" s="2"/>
      <c r="BT236" s="2"/>
      <c r="BU236" s="2" t="s">
        <v>5518</v>
      </c>
      <c r="BV236" s="2"/>
      <c r="BW236" s="2"/>
      <c r="BX236" s="2"/>
      <c r="BY236" s="2"/>
      <c r="BZ236" s="2"/>
      <c r="CA236" s="2"/>
      <c r="CB236" s="2"/>
      <c r="CC236" s="2" t="s">
        <v>3730</v>
      </c>
      <c r="CD236" s="2" t="str">
        <f>HYPERLINK("https://patentscout.innography.com/share/HqgxCe4yBeVhY04kdy4dOg%3D%3D", "Innography Link")</f>
        <v>Innography Link</v>
      </c>
      <c r="CE236" s="2"/>
      <c r="CF236" s="2"/>
      <c r="CG236" s="2"/>
      <c r="CH236" s="2"/>
      <c r="CI236" s="2"/>
      <c r="CK236" s="2" t="s">
        <v>5501</v>
      </c>
      <c r="CL236" s="2" t="s">
        <v>5502</v>
      </c>
      <c r="CM236" s="2" t="s">
        <v>5503</v>
      </c>
    </row>
    <row r="237" spans="1:96" ht="152" customHeight="1" x14ac:dyDescent="0.45">
      <c r="A237" s="2">
        <v>0</v>
      </c>
      <c r="B237" s="2">
        <v>0</v>
      </c>
      <c r="C237" s="2"/>
      <c r="D237" s="2"/>
      <c r="E237" s="2" t="s">
        <v>3607</v>
      </c>
      <c r="F237" s="2"/>
      <c r="G237" s="2" t="s">
        <v>3607</v>
      </c>
      <c r="H237" s="2" t="s">
        <v>5453</v>
      </c>
      <c r="I237" s="2" t="s">
        <v>5519</v>
      </c>
      <c r="J237" s="2" t="s">
        <v>5520</v>
      </c>
      <c r="K237" s="2" t="s">
        <v>5454</v>
      </c>
      <c r="L237" s="2" t="s">
        <v>5454</v>
      </c>
      <c r="M237" s="2" t="s">
        <v>5521</v>
      </c>
      <c r="N237" s="2" t="s">
        <v>5456</v>
      </c>
      <c r="O237" s="2" t="s">
        <v>5457</v>
      </c>
      <c r="P237" s="2" t="s">
        <v>5522</v>
      </c>
      <c r="Q237" s="2" t="s">
        <v>1396</v>
      </c>
      <c r="R237" s="2" t="s">
        <v>1396</v>
      </c>
      <c r="S237" s="2" t="s">
        <v>5522</v>
      </c>
      <c r="T237" s="2">
        <v>74</v>
      </c>
      <c r="U237" s="2">
        <v>9</v>
      </c>
      <c r="V237" s="2" t="s">
        <v>5523</v>
      </c>
      <c r="W237" s="2"/>
      <c r="X237" s="2"/>
      <c r="Y237" s="2"/>
      <c r="Z237" s="2" t="s">
        <v>5524</v>
      </c>
      <c r="AA237" s="2" t="s">
        <v>5524</v>
      </c>
      <c r="AB237" s="2">
        <v>20</v>
      </c>
      <c r="AC237" s="2" t="s">
        <v>214</v>
      </c>
      <c r="AD237" s="2" t="s">
        <v>5490</v>
      </c>
      <c r="AE237" s="2">
        <v>84</v>
      </c>
      <c r="AF237" s="2" t="s">
        <v>180</v>
      </c>
      <c r="AG237" s="2"/>
      <c r="AH237" s="2"/>
      <c r="AI237" s="2"/>
      <c r="AJ237" s="2"/>
      <c r="AK237" s="2" t="s">
        <v>217</v>
      </c>
      <c r="AL237" s="2" t="s">
        <v>5467</v>
      </c>
      <c r="AM237" s="2" t="s">
        <v>5468</v>
      </c>
      <c r="AN237" s="2" t="s">
        <v>5492</v>
      </c>
      <c r="AO237" s="2" t="s">
        <v>5492</v>
      </c>
      <c r="AP237" s="2">
        <v>705348000</v>
      </c>
      <c r="AQ237" s="2">
        <v>705348000</v>
      </c>
      <c r="AR237" s="2" t="s">
        <v>253</v>
      </c>
      <c r="AS237" s="2">
        <v>38475180</v>
      </c>
      <c r="AT237" s="2" t="s">
        <v>5470</v>
      </c>
      <c r="AU237" s="2"/>
      <c r="AV237" s="2"/>
      <c r="AW237" s="2" t="s">
        <v>219</v>
      </c>
      <c r="AX237" s="2">
        <v>4397515</v>
      </c>
      <c r="AY237" s="2" t="s">
        <v>5471</v>
      </c>
      <c r="AZ237" s="2" t="s">
        <v>5525</v>
      </c>
      <c r="BA237" s="2" t="s">
        <v>255</v>
      </c>
      <c r="BB237" s="2">
        <v>0</v>
      </c>
      <c r="BC237" s="3" t="str">
        <f>HYPERLINK("https://patentscout.innography.com/share/MMRVUA4zB4krRfG8rpLu8g%3D%3D","KR20080106220")</f>
        <v>KR20080106220</v>
      </c>
      <c r="BD237" s="2" t="s">
        <v>5526</v>
      </c>
      <c r="BE237" s="2" t="s">
        <v>5527</v>
      </c>
      <c r="BF237" s="2" t="s">
        <v>5528</v>
      </c>
      <c r="BG237" s="2" t="str">
        <f>HYPERLINK("https://patentscout.innography.com/share/MMRVUA4zB4krRfG8rpLu8g%3D%3D/download", "Download PDF")</f>
        <v>Download PDF</v>
      </c>
      <c r="BH237" s="2" t="s">
        <v>5529</v>
      </c>
      <c r="BI237" s="2"/>
      <c r="BJ237" s="2" t="s">
        <v>5530</v>
      </c>
      <c r="BK237" s="2" t="s">
        <v>5478</v>
      </c>
      <c r="BL237" s="2" t="s">
        <v>5478</v>
      </c>
      <c r="BM237" s="2"/>
      <c r="BN237" s="2"/>
      <c r="BO237" s="2"/>
      <c r="BP237" s="2"/>
      <c r="BQ237" s="2"/>
      <c r="BR237" s="2"/>
      <c r="BS237" s="2"/>
      <c r="BT237" s="2"/>
      <c r="BU237" s="2"/>
      <c r="BV237" s="2" t="s">
        <v>5531</v>
      </c>
      <c r="BW237" s="2"/>
      <c r="BX237" s="2"/>
      <c r="BY237" s="2"/>
      <c r="BZ237" s="2"/>
      <c r="CA237" s="2"/>
      <c r="CB237" s="2"/>
      <c r="CC237" s="2" t="s">
        <v>228</v>
      </c>
      <c r="CD237" s="2" t="str">
        <f>HYPERLINK("https://patentscout.innography.com/share/MMRVUA4zB4krRfG8rpLu8g%3D%3D", "Innography Link")</f>
        <v>Innography Link</v>
      </c>
      <c r="CE237" s="2"/>
      <c r="CF237" s="2"/>
      <c r="CG237" s="2"/>
      <c r="CH237" s="2"/>
      <c r="CI237" s="2"/>
      <c r="CK237" s="2" t="s">
        <v>5532</v>
      </c>
      <c r="CL237" s="2" t="s">
        <v>5533</v>
      </c>
      <c r="CM237" s="2" t="s">
        <v>5534</v>
      </c>
    </row>
    <row r="238" spans="1:96" ht="152" customHeight="1" x14ac:dyDescent="0.45">
      <c r="A238" s="2">
        <v>7</v>
      </c>
      <c r="B238" s="2">
        <v>10</v>
      </c>
      <c r="C238" s="2" t="s">
        <v>5450</v>
      </c>
      <c r="D238" s="2" t="s">
        <v>5535</v>
      </c>
      <c r="E238" s="2" t="s">
        <v>4431</v>
      </c>
      <c r="F238" s="2" t="s">
        <v>5452</v>
      </c>
      <c r="G238" s="2" t="s">
        <v>5452</v>
      </c>
      <c r="H238" s="2" t="s">
        <v>5453</v>
      </c>
      <c r="I238" s="2" t="s">
        <v>5453</v>
      </c>
      <c r="J238" s="2" t="s">
        <v>5536</v>
      </c>
      <c r="K238" s="2" t="s">
        <v>5454</v>
      </c>
      <c r="L238" s="2" t="s">
        <v>5454</v>
      </c>
      <c r="M238" s="2" t="s">
        <v>5455</v>
      </c>
      <c r="N238" s="2" t="s">
        <v>5456</v>
      </c>
      <c r="O238" s="2" t="s">
        <v>5457</v>
      </c>
      <c r="P238" s="2" t="s">
        <v>5458</v>
      </c>
      <c r="Q238" s="2" t="s">
        <v>1396</v>
      </c>
      <c r="R238" s="2" t="s">
        <v>5459</v>
      </c>
      <c r="S238" s="2" t="s">
        <v>1396</v>
      </c>
      <c r="T238" s="2">
        <v>74</v>
      </c>
      <c r="U238" s="2">
        <v>67</v>
      </c>
      <c r="V238" s="2" t="s">
        <v>5460</v>
      </c>
      <c r="W238" s="2" t="s">
        <v>5461</v>
      </c>
      <c r="X238" s="2">
        <v>2876</v>
      </c>
      <c r="Y238" s="2" t="s">
        <v>5462</v>
      </c>
      <c r="Z238" s="2" t="s">
        <v>5537</v>
      </c>
      <c r="AA238" s="2" t="s">
        <v>5538</v>
      </c>
      <c r="AB238" s="2">
        <v>16</v>
      </c>
      <c r="AC238" s="2" t="s">
        <v>250</v>
      </c>
      <c r="AD238" s="2" t="s">
        <v>5465</v>
      </c>
      <c r="AE238" s="2">
        <v>69</v>
      </c>
      <c r="AF238" s="2" t="s">
        <v>141</v>
      </c>
      <c r="AG238" s="2"/>
      <c r="AH238" s="2"/>
      <c r="AI238" s="2" t="s">
        <v>5478</v>
      </c>
      <c r="AJ238" s="2"/>
      <c r="AK238" s="2" t="s">
        <v>142</v>
      </c>
      <c r="AL238" s="2" t="s">
        <v>5467</v>
      </c>
      <c r="AM238" s="2" t="s">
        <v>5468</v>
      </c>
      <c r="AN238" s="2" t="s">
        <v>5492</v>
      </c>
      <c r="AO238" s="2" t="s">
        <v>5539</v>
      </c>
      <c r="AP238" s="2">
        <v>235375000</v>
      </c>
      <c r="AQ238" s="2" t="s">
        <v>5540</v>
      </c>
      <c r="AR238" s="2" t="s">
        <v>514</v>
      </c>
      <c r="AS238" s="2">
        <v>38475180</v>
      </c>
      <c r="AT238" s="2" t="s">
        <v>5470</v>
      </c>
      <c r="AU238" s="2"/>
      <c r="AV238" s="2"/>
      <c r="AW238" s="2" t="s">
        <v>416</v>
      </c>
      <c r="AX238" s="2">
        <v>4397515</v>
      </c>
      <c r="AY238" s="2" t="s">
        <v>5471</v>
      </c>
      <c r="AZ238" s="2" t="s">
        <v>5472</v>
      </c>
      <c r="BA238" s="2" t="s">
        <v>5541</v>
      </c>
      <c r="BB238" s="2">
        <v>0</v>
      </c>
      <c r="BC238" s="3" t="str">
        <f>HYPERLINK("https://patentscout.innography.com/share/giohQuEhfm3HE49jdeRtRA%3D%3D","US7703667")</f>
        <v>US7703667</v>
      </c>
      <c r="BD238" s="2" t="s">
        <v>5542</v>
      </c>
      <c r="BE238" s="2" t="s">
        <v>5475</v>
      </c>
      <c r="BF238" s="2" t="s">
        <v>5543</v>
      </c>
      <c r="BG238" s="2" t="str">
        <f>HYPERLINK("https://patentscout.innography.com/share/giohQuEhfm3HE49jdeRtRA%3D%3D/download", "Download PDF")</f>
        <v>Download PDF</v>
      </c>
      <c r="BH238" s="2" t="s">
        <v>5544</v>
      </c>
      <c r="BI238" s="2"/>
      <c r="BJ238" s="2" t="s">
        <v>5478</v>
      </c>
      <c r="BK238" s="2" t="s">
        <v>5478</v>
      </c>
      <c r="BL238" s="2" t="s">
        <v>5478</v>
      </c>
      <c r="BM238" s="2"/>
      <c r="BN238" s="2" t="s">
        <v>5479</v>
      </c>
      <c r="BO238" s="2"/>
      <c r="BP238" s="2"/>
      <c r="BQ238" s="2" t="s">
        <v>5480</v>
      </c>
      <c r="BR238" s="2"/>
      <c r="BS238" s="2"/>
      <c r="BT238" s="2" t="s">
        <v>679</v>
      </c>
      <c r="BU238" s="2"/>
      <c r="BV238" s="2"/>
      <c r="BW238" s="2" t="s">
        <v>318</v>
      </c>
      <c r="BX238" s="2"/>
      <c r="BY238" s="2"/>
      <c r="BZ238" s="2"/>
      <c r="CA238" s="2"/>
      <c r="CB238" s="2"/>
      <c r="CC238" s="2" t="s">
        <v>259</v>
      </c>
      <c r="CD238" s="2" t="str">
        <f>HYPERLINK("https://patentscout.innography.com/share/giohQuEhfm3HE49jdeRtRA%3D%3D", "Innography Link")</f>
        <v>Innography Link</v>
      </c>
      <c r="CE238" s="2"/>
      <c r="CF238" s="2"/>
      <c r="CG238" s="2"/>
      <c r="CH238" s="2"/>
      <c r="CI238" s="2"/>
      <c r="CK238" s="2" t="s">
        <v>5545</v>
      </c>
      <c r="CL238" s="2" t="s">
        <v>5546</v>
      </c>
      <c r="CM238" s="2" t="s">
        <v>5547</v>
      </c>
    </row>
    <row r="239" spans="1:96" ht="152" customHeight="1" x14ac:dyDescent="0.45">
      <c r="A239" s="2">
        <v>0</v>
      </c>
      <c r="B239" s="2">
        <v>0</v>
      </c>
      <c r="C239" s="2"/>
      <c r="D239" s="2"/>
      <c r="E239" s="2" t="s">
        <v>5548</v>
      </c>
      <c r="F239" s="2"/>
      <c r="G239" s="2" t="s">
        <v>5548</v>
      </c>
      <c r="H239" s="2" t="s">
        <v>5453</v>
      </c>
      <c r="I239" s="2" t="s">
        <v>5485</v>
      </c>
      <c r="J239" s="2" t="s">
        <v>5413</v>
      </c>
      <c r="K239" s="2" t="s">
        <v>5454</v>
      </c>
      <c r="L239" s="2" t="s">
        <v>5454</v>
      </c>
      <c r="M239" s="2" t="s">
        <v>5549</v>
      </c>
      <c r="N239" s="2" t="s">
        <v>5550</v>
      </c>
      <c r="O239" s="2" t="s">
        <v>5457</v>
      </c>
      <c r="P239" s="2"/>
      <c r="Q239" s="2" t="s">
        <v>1396</v>
      </c>
      <c r="R239" s="2" t="s">
        <v>1396</v>
      </c>
      <c r="S239" s="2"/>
      <c r="T239" s="2">
        <v>74</v>
      </c>
      <c r="U239" s="2">
        <v>18</v>
      </c>
      <c r="V239" s="2" t="s">
        <v>5551</v>
      </c>
      <c r="W239" s="2"/>
      <c r="X239" s="2"/>
      <c r="Y239" s="2"/>
      <c r="Z239" s="2"/>
      <c r="AA239" s="2" t="s">
        <v>5552</v>
      </c>
      <c r="AB239" s="2">
        <v>20</v>
      </c>
      <c r="AC239" s="2" t="s">
        <v>214</v>
      </c>
      <c r="AD239" s="2" t="s">
        <v>5490</v>
      </c>
      <c r="AE239" s="2">
        <v>79</v>
      </c>
      <c r="AF239" s="2" t="s">
        <v>180</v>
      </c>
      <c r="AG239" s="2"/>
      <c r="AH239" s="2"/>
      <c r="AI239" s="2"/>
      <c r="AJ239" s="2"/>
      <c r="AK239" s="2" t="s">
        <v>1108</v>
      </c>
      <c r="AL239" s="2" t="s">
        <v>5467</v>
      </c>
      <c r="AM239" s="2" t="s">
        <v>5468</v>
      </c>
      <c r="AN239" s="2" t="s">
        <v>5492</v>
      </c>
      <c r="AO239" s="2" t="s">
        <v>5492</v>
      </c>
      <c r="AP239" s="2">
        <v>705348000</v>
      </c>
      <c r="AQ239" s="2">
        <v>705348000</v>
      </c>
      <c r="AR239" s="2" t="s">
        <v>541</v>
      </c>
      <c r="AS239" s="2">
        <v>38475180</v>
      </c>
      <c r="AT239" s="2" t="s">
        <v>5470</v>
      </c>
      <c r="AU239" s="2"/>
      <c r="AV239" s="2"/>
      <c r="AW239" s="2" t="s">
        <v>1111</v>
      </c>
      <c r="AX239" s="2">
        <v>4397515</v>
      </c>
      <c r="AY239" s="2" t="s">
        <v>5471</v>
      </c>
      <c r="AZ239" s="2" t="s">
        <v>5553</v>
      </c>
      <c r="BA239" s="2" t="s">
        <v>255</v>
      </c>
      <c r="BB239" s="2">
        <v>0</v>
      </c>
      <c r="BC239" s="3" t="str">
        <f>HYPERLINK("https://patentscout.innography.com/share/QI0S42ql4mcehlXZFSRHvQ%3D%3D","JP2009529182")</f>
        <v>JP2009529182</v>
      </c>
      <c r="BD239" s="2" t="s">
        <v>5554</v>
      </c>
      <c r="BE239" s="2" t="s">
        <v>5555</v>
      </c>
      <c r="BF239" s="2" t="s">
        <v>5556</v>
      </c>
      <c r="BG239" s="2" t="str">
        <f>HYPERLINK("https://patentscout.innography.com/share/QI0S42ql4mcehlXZFSRHvQ%3D%3D/download", "Download PDF")</f>
        <v>Download PDF</v>
      </c>
      <c r="BH239" s="2" t="s">
        <v>5557</v>
      </c>
      <c r="BI239" s="2" t="s">
        <v>5516</v>
      </c>
      <c r="BJ239" s="2" t="s">
        <v>5558</v>
      </c>
      <c r="BK239" s="2" t="s">
        <v>5478</v>
      </c>
      <c r="BL239" s="2" t="s">
        <v>5478</v>
      </c>
      <c r="BM239" s="2"/>
      <c r="BN239" s="2"/>
      <c r="BO239" s="2"/>
      <c r="BP239" s="2"/>
      <c r="BQ239" s="2"/>
      <c r="BR239" s="2"/>
      <c r="BS239" s="2"/>
      <c r="BT239" s="2"/>
      <c r="BU239" s="2"/>
      <c r="BV239" s="2" t="s">
        <v>5559</v>
      </c>
      <c r="BW239" s="2"/>
      <c r="BX239" s="2"/>
      <c r="BY239" s="2"/>
      <c r="BZ239" s="2"/>
      <c r="CA239" s="2"/>
      <c r="CB239" s="2"/>
      <c r="CC239" s="2" t="s">
        <v>1120</v>
      </c>
      <c r="CD239" s="2" t="str">
        <f>HYPERLINK("https://patentscout.innography.com/share/QI0S42ql4mcehlXZFSRHvQ%3D%3D", "Innography Link")</f>
        <v>Innography Link</v>
      </c>
      <c r="CE239" s="2"/>
      <c r="CF239" s="2"/>
      <c r="CG239" s="2"/>
      <c r="CH239" s="2"/>
      <c r="CI239" s="2"/>
      <c r="CK239" s="2" t="s">
        <v>5560</v>
      </c>
      <c r="CL239" s="2" t="s">
        <v>5561</v>
      </c>
      <c r="CM239" s="2" t="s">
        <v>5562</v>
      </c>
      <c r="CN239" s="2" t="s">
        <v>5563</v>
      </c>
      <c r="CO239" s="2" t="s">
        <v>5564</v>
      </c>
      <c r="CP239" s="2" t="s">
        <v>5565</v>
      </c>
    </row>
    <row r="240" spans="1:96" ht="152" customHeight="1" x14ac:dyDescent="0.45">
      <c r="A240" s="2">
        <v>456</v>
      </c>
      <c r="B240" s="2">
        <v>5</v>
      </c>
      <c r="C240" s="2" t="s">
        <v>4429</v>
      </c>
      <c r="D240" s="2" t="s">
        <v>5566</v>
      </c>
      <c r="E240" s="2" t="s">
        <v>4431</v>
      </c>
      <c r="F240" s="2" t="s">
        <v>4432</v>
      </c>
      <c r="G240" s="2" t="s">
        <v>4432</v>
      </c>
      <c r="H240" s="2" t="s">
        <v>4433</v>
      </c>
      <c r="I240" s="2" t="s">
        <v>4434</v>
      </c>
      <c r="J240" s="2" t="s">
        <v>5567</v>
      </c>
      <c r="K240" s="2" t="s">
        <v>4431</v>
      </c>
      <c r="L240" s="2" t="s">
        <v>4316</v>
      </c>
      <c r="M240" s="2" t="s">
        <v>4435</v>
      </c>
      <c r="N240" s="2" t="s">
        <v>4436</v>
      </c>
      <c r="O240" s="2"/>
      <c r="P240" s="2" t="s">
        <v>4320</v>
      </c>
      <c r="Q240" s="2" t="s">
        <v>4321</v>
      </c>
      <c r="R240" s="2" t="s">
        <v>4321</v>
      </c>
      <c r="S240" s="2" t="s">
        <v>4322</v>
      </c>
      <c r="T240" s="2">
        <v>74</v>
      </c>
      <c r="U240" s="2">
        <v>64</v>
      </c>
      <c r="V240" s="2" t="s">
        <v>4437</v>
      </c>
      <c r="W240" s="2" t="s">
        <v>4438</v>
      </c>
      <c r="X240" s="2">
        <v>3715</v>
      </c>
      <c r="Y240" s="2" t="s">
        <v>3955</v>
      </c>
      <c r="Z240" s="2" t="s">
        <v>5568</v>
      </c>
      <c r="AA240" s="2" t="s">
        <v>5569</v>
      </c>
      <c r="AB240" s="2">
        <v>17</v>
      </c>
      <c r="AC240" s="2" t="s">
        <v>250</v>
      </c>
      <c r="AD240" s="2" t="s">
        <v>4327</v>
      </c>
      <c r="AE240" s="2">
        <v>197</v>
      </c>
      <c r="AF240" s="2" t="s">
        <v>180</v>
      </c>
      <c r="AG240" s="2"/>
      <c r="AH240" s="2"/>
      <c r="AI240" s="2" t="s">
        <v>4450</v>
      </c>
      <c r="AJ240" s="2"/>
      <c r="AK240" s="2" t="s">
        <v>142</v>
      </c>
      <c r="AL240" s="2" t="s">
        <v>3617</v>
      </c>
      <c r="AM240" s="2" t="s">
        <v>4442</v>
      </c>
      <c r="AN240" s="2" t="s">
        <v>5281</v>
      </c>
      <c r="AO240" s="2" t="s">
        <v>5281</v>
      </c>
      <c r="AP240" s="2">
        <v>463042000</v>
      </c>
      <c r="AQ240" s="2">
        <v>463042000</v>
      </c>
      <c r="AR240" s="2" t="s">
        <v>514</v>
      </c>
      <c r="AS240" s="2">
        <v>38518617</v>
      </c>
      <c r="AT240" s="2" t="s">
        <v>4443</v>
      </c>
      <c r="AU240" s="2"/>
      <c r="AV240" s="2"/>
      <c r="AW240" s="2" t="s">
        <v>3646</v>
      </c>
      <c r="AX240" s="2">
        <v>4262312</v>
      </c>
      <c r="AY240" s="2" t="s">
        <v>4330</v>
      </c>
      <c r="AZ240" s="2" t="s">
        <v>4444</v>
      </c>
      <c r="BA240" s="2" t="s">
        <v>255</v>
      </c>
      <c r="BB240" s="2">
        <v>0</v>
      </c>
      <c r="BC240" s="3" t="str">
        <f>HYPERLINK("https://patentscout.innography.com/share/PvyhVBHCyGcKnFSkjEoDkg%3D%3D","US7775885")</f>
        <v>US7775885</v>
      </c>
      <c r="BD240" s="2" t="s">
        <v>5570</v>
      </c>
      <c r="BE240" s="2" t="s">
        <v>4447</v>
      </c>
      <c r="BF240" s="2" t="s">
        <v>5571</v>
      </c>
      <c r="BG240" s="2" t="str">
        <f>HYPERLINK("https://patentscout.innography.com/share/PvyhVBHCyGcKnFSkjEoDkg%3D%3D/download", "Download PDF")</f>
        <v>Download PDF</v>
      </c>
      <c r="BH240" s="2" t="s">
        <v>5572</v>
      </c>
      <c r="BI240" s="2"/>
      <c r="BJ240" s="2" t="s">
        <v>4450</v>
      </c>
      <c r="BK240" s="2" t="s">
        <v>4450</v>
      </c>
      <c r="BL240" s="2" t="s">
        <v>4338</v>
      </c>
      <c r="BM240" s="2" t="s">
        <v>313</v>
      </c>
      <c r="BN240" s="2"/>
      <c r="BO240" s="2" t="s">
        <v>4451</v>
      </c>
      <c r="BP240" s="2"/>
      <c r="BQ240" s="2"/>
      <c r="BR240" s="2" t="s">
        <v>4452</v>
      </c>
      <c r="BS240" s="2" t="s">
        <v>4453</v>
      </c>
      <c r="BT240" s="2" t="s">
        <v>4454</v>
      </c>
      <c r="BU240" s="2"/>
      <c r="BV240" s="2"/>
      <c r="BW240" s="2" t="s">
        <v>204</v>
      </c>
      <c r="BX240" s="2"/>
      <c r="BY240" s="2"/>
      <c r="BZ240" s="2"/>
      <c r="CA240" s="2"/>
      <c r="CB240" s="2"/>
      <c r="CC240" s="2" t="s">
        <v>259</v>
      </c>
      <c r="CD240" s="2" t="str">
        <f>HYPERLINK("https://patentscout.innography.com/share/PvyhVBHCyGcKnFSkjEoDkg%3D%3D", "Innography Link")</f>
        <v>Innography Link</v>
      </c>
      <c r="CE240" s="2"/>
      <c r="CF240" s="2"/>
      <c r="CG240" s="2"/>
      <c r="CH240" s="2"/>
      <c r="CI240" s="2"/>
      <c r="CK240" s="2" t="s">
        <v>5573</v>
      </c>
      <c r="CL240" s="2" t="s">
        <v>5574</v>
      </c>
    </row>
    <row r="241" spans="1:93" ht="30" customHeight="1" x14ac:dyDescent="0.45">
      <c r="A241" s="2">
        <v>0</v>
      </c>
      <c r="B241" s="2">
        <v>0</v>
      </c>
      <c r="C241" s="2"/>
      <c r="D241" s="2"/>
      <c r="E241" s="2" t="s">
        <v>5575</v>
      </c>
      <c r="F241" s="2"/>
      <c r="G241" s="2" t="s">
        <v>5575</v>
      </c>
      <c r="H241" s="2" t="s">
        <v>5576</v>
      </c>
      <c r="I241" s="2" t="s">
        <v>5576</v>
      </c>
      <c r="J241" s="2" t="s">
        <v>5577</v>
      </c>
      <c r="K241" s="2" t="s">
        <v>5575</v>
      </c>
      <c r="L241" s="2" t="s">
        <v>5575</v>
      </c>
      <c r="M241" s="2" t="s">
        <v>5578</v>
      </c>
      <c r="N241" s="2" t="s">
        <v>5579</v>
      </c>
      <c r="O241" s="2"/>
      <c r="P241" s="2" t="s">
        <v>5580</v>
      </c>
      <c r="Q241" s="2" t="s">
        <v>5580</v>
      </c>
      <c r="R241" s="2" t="s">
        <v>5581</v>
      </c>
      <c r="S241" s="2" t="s">
        <v>5580</v>
      </c>
      <c r="T241" s="2">
        <v>74</v>
      </c>
      <c r="U241" s="2">
        <v>30</v>
      </c>
      <c r="V241" s="2" t="s">
        <v>5582</v>
      </c>
      <c r="W241" s="2"/>
      <c r="X241" s="2"/>
      <c r="Y241" s="2"/>
      <c r="Z241" s="2" t="s">
        <v>5583</v>
      </c>
      <c r="AA241" s="2" t="s">
        <v>5584</v>
      </c>
      <c r="AB241" s="2">
        <v>36</v>
      </c>
      <c r="AC241" s="2" t="s">
        <v>139</v>
      </c>
      <c r="AD241" s="2" t="s">
        <v>5585</v>
      </c>
      <c r="AE241" s="2">
        <v>263</v>
      </c>
      <c r="AF241" s="2" t="s">
        <v>141</v>
      </c>
      <c r="AG241" s="2"/>
      <c r="AH241" s="2"/>
      <c r="AI241" s="2"/>
      <c r="AJ241" s="2"/>
      <c r="AK241" s="2" t="s">
        <v>142</v>
      </c>
      <c r="AL241" s="2" t="s">
        <v>5586</v>
      </c>
      <c r="AM241" s="2" t="s">
        <v>5587</v>
      </c>
      <c r="AN241" s="2" t="s">
        <v>5588</v>
      </c>
      <c r="AO241" s="2" t="s">
        <v>5589</v>
      </c>
      <c r="AP241" s="2">
        <v>370313000</v>
      </c>
      <c r="AQ241" s="2">
        <v>370313000</v>
      </c>
      <c r="AR241" s="2" t="s">
        <v>415</v>
      </c>
      <c r="AS241" s="2">
        <v>1178064874</v>
      </c>
      <c r="AT241" s="2"/>
      <c r="AU241" s="2"/>
      <c r="AV241" s="2"/>
      <c r="AW241" s="2" t="s">
        <v>148</v>
      </c>
      <c r="AX241" s="2">
        <v>1678064874</v>
      </c>
      <c r="AY241" s="2" t="s">
        <v>5590</v>
      </c>
      <c r="AZ241" s="2" t="s">
        <v>5591</v>
      </c>
      <c r="BA241" s="2" t="s">
        <v>5592</v>
      </c>
      <c r="BB241" s="2">
        <v>0</v>
      </c>
      <c r="BC241" s="3" t="str">
        <f>HYPERLINK("https://patentscout.innography.com/share/Pb1u3JOGVjtRxczUVlyY_A%3D%3D","US20230007439")</f>
        <v>US20230007439</v>
      </c>
      <c r="BD241" s="2" t="s">
        <v>5593</v>
      </c>
      <c r="BE241" s="2"/>
      <c r="BF241" s="2" t="s">
        <v>5594</v>
      </c>
      <c r="BG241" s="2" t="str">
        <f>HYPERLINK("https://patentscout.innography.com/share/Pb1u3JOGVjtRxczUVlyY_A%3D%3D/download", "Download PDF")</f>
        <v>Download PDF</v>
      </c>
      <c r="BH241" s="2" t="s">
        <v>5595</v>
      </c>
      <c r="BI241" s="2"/>
      <c r="BJ241" s="2" t="s">
        <v>5590</v>
      </c>
      <c r="BK241" s="2" t="s">
        <v>5590</v>
      </c>
      <c r="BL241" s="2" t="s">
        <v>5590</v>
      </c>
      <c r="BM241" s="2"/>
      <c r="BN241" s="2"/>
      <c r="BO241" s="2"/>
      <c r="BP241" s="2"/>
      <c r="BQ241" s="2"/>
      <c r="BR241" s="2"/>
      <c r="BS241" s="2"/>
      <c r="BT241" s="2"/>
      <c r="BU241" s="2"/>
      <c r="BV241" s="2"/>
      <c r="BW241" s="2"/>
      <c r="BX241" s="2"/>
      <c r="BY241" s="2"/>
      <c r="BZ241" s="2"/>
      <c r="CA241" s="2"/>
      <c r="CB241" s="2"/>
      <c r="CC241" s="2" t="s">
        <v>158</v>
      </c>
      <c r="CD241" s="2" t="str">
        <f>HYPERLINK("https://patentscout.innography.com/share/Pb1u3JOGVjtRxczUVlyY_A%3D%3D", "Innography Link")</f>
        <v>Innography Link</v>
      </c>
      <c r="CE241" s="2"/>
      <c r="CF241" s="2"/>
      <c r="CG241" s="2"/>
      <c r="CH241" s="2"/>
      <c r="CI241" s="2"/>
      <c r="CK241" s="2" t="s">
        <v>5596</v>
      </c>
      <c r="CL241" s="2" t="s">
        <v>5597</v>
      </c>
      <c r="CM241" s="2" t="s">
        <v>5598</v>
      </c>
    </row>
    <row r="242" spans="1:93" ht="152" customHeight="1" x14ac:dyDescent="0.45">
      <c r="A242" s="2">
        <v>1</v>
      </c>
      <c r="B242" s="2">
        <v>0</v>
      </c>
      <c r="C242" s="2"/>
      <c r="D242" s="2" t="s">
        <v>5599</v>
      </c>
      <c r="E242" s="2" t="s">
        <v>5600</v>
      </c>
      <c r="F242" s="2" t="s">
        <v>5601</v>
      </c>
      <c r="G242" s="2" t="s">
        <v>5600</v>
      </c>
      <c r="H242" s="2" t="s">
        <v>5602</v>
      </c>
      <c r="I242" s="2" t="s">
        <v>5602</v>
      </c>
      <c r="J242" s="2" t="s">
        <v>5601</v>
      </c>
      <c r="K242" s="2" t="s">
        <v>5600</v>
      </c>
      <c r="L242" s="2" t="s">
        <v>5600</v>
      </c>
      <c r="M242" s="2" t="s">
        <v>5603</v>
      </c>
      <c r="N242" s="2" t="s">
        <v>5604</v>
      </c>
      <c r="O242" s="2"/>
      <c r="P242" s="2" t="s">
        <v>3757</v>
      </c>
      <c r="Q242" s="2" t="s">
        <v>3758</v>
      </c>
      <c r="R242" s="2" t="s">
        <v>3759</v>
      </c>
      <c r="S242" s="2" t="s">
        <v>3757</v>
      </c>
      <c r="T242" s="2">
        <v>74</v>
      </c>
      <c r="U242" s="2">
        <v>8</v>
      </c>
      <c r="V242" s="2" t="s">
        <v>5605</v>
      </c>
      <c r="W242" s="2"/>
      <c r="X242" s="2"/>
      <c r="Y242" s="2"/>
      <c r="Z242" s="2" t="s">
        <v>5606</v>
      </c>
      <c r="AA242" s="2" t="s">
        <v>5606</v>
      </c>
      <c r="AB242" s="2">
        <v>7</v>
      </c>
      <c r="AC242" s="2" t="s">
        <v>214</v>
      </c>
      <c r="AD242" s="2" t="s">
        <v>5607</v>
      </c>
      <c r="AE242" s="2">
        <v>159</v>
      </c>
      <c r="AF242" s="2" t="s">
        <v>180</v>
      </c>
      <c r="AG242" s="2"/>
      <c r="AH242" s="2"/>
      <c r="AI242" s="2" t="s">
        <v>5608</v>
      </c>
      <c r="AJ242" s="2"/>
      <c r="AK242" s="2" t="s">
        <v>1108</v>
      </c>
      <c r="AL242" s="2" t="s">
        <v>620</v>
      </c>
      <c r="AM242" s="2" t="s">
        <v>620</v>
      </c>
      <c r="AN242" s="2" t="s">
        <v>1109</v>
      </c>
      <c r="AO242" s="2" t="s">
        <v>5609</v>
      </c>
      <c r="AP242" s="2">
        <v>345540000</v>
      </c>
      <c r="AQ242" s="2">
        <v>345540000</v>
      </c>
      <c r="AR242" s="2" t="s">
        <v>253</v>
      </c>
      <c r="AS242" s="2">
        <v>42259091</v>
      </c>
      <c r="AT242" s="2" t="s">
        <v>5610</v>
      </c>
      <c r="AU242" s="2"/>
      <c r="AV242" s="2"/>
      <c r="AW242" s="2" t="s">
        <v>1111</v>
      </c>
      <c r="AX242" s="2">
        <v>34175562</v>
      </c>
      <c r="AY242" s="2" t="s">
        <v>5611</v>
      </c>
      <c r="AZ242" s="2" t="s">
        <v>5612</v>
      </c>
      <c r="BA242" s="2" t="s">
        <v>5613</v>
      </c>
      <c r="BB242" s="2">
        <v>0</v>
      </c>
      <c r="BC242" s="3" t="str">
        <f>HYPERLINK("https://patentscout.innography.com/share/oLwfyst5SPO0AdZ0M8wJDg%3D%3D","JP2010097465")</f>
        <v>JP2010097465</v>
      </c>
      <c r="BD242" s="2" t="s">
        <v>5614</v>
      </c>
      <c r="BE242" s="2" t="s">
        <v>5615</v>
      </c>
      <c r="BF242" s="2" t="s">
        <v>5616</v>
      </c>
      <c r="BG242" s="2" t="str">
        <f>HYPERLINK("https://patentscout.innography.com/share/oLwfyst5SPO0AdZ0M8wJDg%3D%3D/download", "Download PDF")</f>
        <v>Download PDF</v>
      </c>
      <c r="BH242" s="2" t="s">
        <v>5617</v>
      </c>
      <c r="BI242" s="2"/>
      <c r="BJ242" s="2" t="s">
        <v>5618</v>
      </c>
      <c r="BK242" s="2" t="s">
        <v>5618</v>
      </c>
      <c r="BL242" s="2" t="s">
        <v>5618</v>
      </c>
      <c r="BM242" s="2"/>
      <c r="BN242" s="2"/>
      <c r="BO242" s="2"/>
      <c r="BP242" s="2"/>
      <c r="BQ242" s="2"/>
      <c r="BR242" s="2"/>
      <c r="BS242" s="2"/>
      <c r="BT242" s="2"/>
      <c r="BU242" s="2"/>
      <c r="BV242" s="2" t="s">
        <v>3774</v>
      </c>
      <c r="BW242" s="2"/>
      <c r="BX242" s="2"/>
      <c r="BY242" s="2"/>
      <c r="BZ242" s="2"/>
      <c r="CA242" s="2"/>
      <c r="CB242" s="2"/>
      <c r="CC242" s="2" t="s">
        <v>1120</v>
      </c>
      <c r="CD242" s="2" t="str">
        <f>HYPERLINK("https://patentscout.innography.com/share/oLwfyst5SPO0AdZ0M8wJDg%3D%3D", "Innography Link")</f>
        <v>Innography Link</v>
      </c>
      <c r="CE242" s="2"/>
      <c r="CF242" s="2"/>
      <c r="CG242" s="2"/>
      <c r="CH242" s="2"/>
      <c r="CI242" s="2"/>
      <c r="CK242" s="2" t="s">
        <v>5619</v>
      </c>
      <c r="CL242" s="2" t="s">
        <v>5620</v>
      </c>
      <c r="CM242" s="2" t="s">
        <v>5621</v>
      </c>
      <c r="CN242" s="2" t="s">
        <v>5622</v>
      </c>
      <c r="CO242" s="2" t="s">
        <v>5623</v>
      </c>
    </row>
    <row r="243" spans="1:93" ht="152" customHeight="1" x14ac:dyDescent="0.45">
      <c r="A243" s="2">
        <v>0</v>
      </c>
      <c r="B243" s="2">
        <v>0</v>
      </c>
      <c r="C243" s="2"/>
      <c r="D243" s="2"/>
      <c r="E243" s="2" t="s">
        <v>5600</v>
      </c>
      <c r="F243" s="2" t="s">
        <v>5601</v>
      </c>
      <c r="G243" s="2" t="s">
        <v>5601</v>
      </c>
      <c r="H243" s="2" t="s">
        <v>5602</v>
      </c>
      <c r="I243" s="2" t="s">
        <v>5602</v>
      </c>
      <c r="J243" s="2" t="s">
        <v>5624</v>
      </c>
      <c r="K243" s="2" t="s">
        <v>5600</v>
      </c>
      <c r="L243" s="2" t="s">
        <v>5600</v>
      </c>
      <c r="M243" s="2" t="s">
        <v>5625</v>
      </c>
      <c r="N243" s="2" t="s">
        <v>5626</v>
      </c>
      <c r="O243" s="2"/>
      <c r="P243" s="2" t="s">
        <v>3757</v>
      </c>
      <c r="Q243" s="2" t="s">
        <v>3758</v>
      </c>
      <c r="R243" s="2" t="s">
        <v>3759</v>
      </c>
      <c r="S243" s="2" t="s">
        <v>3757</v>
      </c>
      <c r="T243" s="2">
        <v>74</v>
      </c>
      <c r="U243" s="2">
        <v>10</v>
      </c>
      <c r="V243" s="2" t="s">
        <v>5605</v>
      </c>
      <c r="W243" s="2"/>
      <c r="X243" s="2"/>
      <c r="Y243" s="2"/>
      <c r="Z243" s="2" t="s">
        <v>5606</v>
      </c>
      <c r="AA243" s="2" t="s">
        <v>5606</v>
      </c>
      <c r="AB243" s="2">
        <v>7</v>
      </c>
      <c r="AC243" s="2" t="s">
        <v>250</v>
      </c>
      <c r="AD243" s="2" t="s">
        <v>5607</v>
      </c>
      <c r="AE243" s="2">
        <v>159</v>
      </c>
      <c r="AF243" s="2" t="s">
        <v>180</v>
      </c>
      <c r="AG243" s="2"/>
      <c r="AH243" s="2"/>
      <c r="AI243" s="2" t="s">
        <v>5618</v>
      </c>
      <c r="AJ243" s="2"/>
      <c r="AK243" s="2" t="s">
        <v>1108</v>
      </c>
      <c r="AL243" s="2" t="s">
        <v>620</v>
      </c>
      <c r="AM243" s="2" t="s">
        <v>620</v>
      </c>
      <c r="AN243" s="2" t="s">
        <v>1109</v>
      </c>
      <c r="AO243" s="2" t="s">
        <v>5609</v>
      </c>
      <c r="AP243" s="2">
        <v>345540000</v>
      </c>
      <c r="AQ243" s="2">
        <v>345540000</v>
      </c>
      <c r="AR243" s="2" t="s">
        <v>541</v>
      </c>
      <c r="AS243" s="2">
        <v>42259091</v>
      </c>
      <c r="AT243" s="2" t="s">
        <v>5610</v>
      </c>
      <c r="AU243" s="2"/>
      <c r="AV243" s="2"/>
      <c r="AW243" s="2" t="s">
        <v>3781</v>
      </c>
      <c r="AX243" s="2">
        <v>34175562</v>
      </c>
      <c r="AY243" s="2" t="s">
        <v>5611</v>
      </c>
      <c r="AZ243" s="2" t="s">
        <v>5612</v>
      </c>
      <c r="BA243" s="2" t="s">
        <v>255</v>
      </c>
      <c r="BB243" s="2">
        <v>0</v>
      </c>
      <c r="BC243" s="3" t="str">
        <f>HYPERLINK("https://patentscout.innography.com/share/V30ekEOP_oowmpAZ5E6M0Q%3D%3D","JP4885188")</f>
        <v>JP4885188</v>
      </c>
      <c r="BD243" s="2" t="s">
        <v>5627</v>
      </c>
      <c r="BE243" s="2" t="s">
        <v>5615</v>
      </c>
      <c r="BF243" s="2" t="s">
        <v>5628</v>
      </c>
      <c r="BG243" s="2" t="str">
        <f>HYPERLINK("https://patentscout.innography.com/share/V30ekEOP_oowmpAZ5E6M0Q%3D%3D/download", "Download PDF")</f>
        <v>Download PDF</v>
      </c>
      <c r="BH243" s="2" t="s">
        <v>5629</v>
      </c>
      <c r="BI243" s="2"/>
      <c r="BJ243" s="2" t="s">
        <v>5618</v>
      </c>
      <c r="BK243" s="2" t="s">
        <v>5618</v>
      </c>
      <c r="BL243" s="2" t="s">
        <v>5618</v>
      </c>
      <c r="BM243" s="2"/>
      <c r="BN243" s="2"/>
      <c r="BO243" s="2"/>
      <c r="BP243" s="2"/>
      <c r="BQ243" s="2"/>
      <c r="BR243" s="2"/>
      <c r="BS243" s="2"/>
      <c r="BT243" s="2"/>
      <c r="BU243" s="2"/>
      <c r="BV243" s="2" t="s">
        <v>3774</v>
      </c>
      <c r="BW243" s="2"/>
      <c r="BX243" s="2"/>
      <c r="BY243" s="2"/>
      <c r="BZ243" s="2"/>
      <c r="CA243" s="2"/>
      <c r="CB243" s="2"/>
      <c r="CC243" s="2" t="s">
        <v>1971</v>
      </c>
      <c r="CD243" s="2" t="str">
        <f>HYPERLINK("https://patentscout.innography.com/share/V30ekEOP_oowmpAZ5E6M0Q%3D%3D", "Innography Link")</f>
        <v>Innography Link</v>
      </c>
      <c r="CE243" s="2"/>
      <c r="CF243" s="2"/>
      <c r="CG243" s="2"/>
      <c r="CH243" s="2"/>
      <c r="CI243" s="2"/>
      <c r="CK243" s="2" t="s">
        <v>5619</v>
      </c>
      <c r="CL243" s="2" t="s">
        <v>5620</v>
      </c>
      <c r="CM243" s="2" t="s">
        <v>5621</v>
      </c>
      <c r="CN243" s="2" t="s">
        <v>5622</v>
      </c>
      <c r="CO243" s="2" t="s">
        <v>5623</v>
      </c>
    </row>
    <row r="244" spans="1:93" ht="152" customHeight="1" x14ac:dyDescent="0.45">
      <c r="A244" s="2">
        <v>16</v>
      </c>
      <c r="B244" s="2">
        <v>19</v>
      </c>
      <c r="C244" s="2" t="s">
        <v>5630</v>
      </c>
      <c r="D244" s="2" t="s">
        <v>5631</v>
      </c>
      <c r="E244" s="2" t="s">
        <v>5632</v>
      </c>
      <c r="F244" s="2" t="s">
        <v>5633</v>
      </c>
      <c r="G244" s="2" t="s">
        <v>5632</v>
      </c>
      <c r="H244" s="2" t="s">
        <v>4433</v>
      </c>
      <c r="I244" s="2" t="s">
        <v>5634</v>
      </c>
      <c r="J244" s="2" t="s">
        <v>5633</v>
      </c>
      <c r="K244" s="2" t="s">
        <v>5632</v>
      </c>
      <c r="L244" s="2" t="s">
        <v>4316</v>
      </c>
      <c r="M244" s="2" t="s">
        <v>5635</v>
      </c>
      <c r="N244" s="2" t="s">
        <v>5636</v>
      </c>
      <c r="O244" s="2" t="s">
        <v>5637</v>
      </c>
      <c r="P244" s="2" t="s">
        <v>4320</v>
      </c>
      <c r="Q244" s="2" t="s">
        <v>4321</v>
      </c>
      <c r="R244" s="2" t="s">
        <v>4321</v>
      </c>
      <c r="S244" s="2" t="s">
        <v>4322</v>
      </c>
      <c r="T244" s="2">
        <v>74</v>
      </c>
      <c r="U244" s="2">
        <v>68</v>
      </c>
      <c r="V244" s="2" t="s">
        <v>5638</v>
      </c>
      <c r="W244" s="2" t="s">
        <v>4324</v>
      </c>
      <c r="X244" s="2">
        <v>3718</v>
      </c>
      <c r="Y244" s="2"/>
      <c r="Z244" s="2" t="s">
        <v>5639</v>
      </c>
      <c r="AA244" s="2" t="s">
        <v>5640</v>
      </c>
      <c r="AB244" s="2">
        <v>20</v>
      </c>
      <c r="AC244" s="2" t="s">
        <v>139</v>
      </c>
      <c r="AD244" s="2" t="s">
        <v>4327</v>
      </c>
      <c r="AE244" s="2">
        <v>47</v>
      </c>
      <c r="AF244" s="2" t="s">
        <v>180</v>
      </c>
      <c r="AG244" s="2"/>
      <c r="AH244" s="2"/>
      <c r="AI244" s="2" t="s">
        <v>5641</v>
      </c>
      <c r="AJ244" s="2"/>
      <c r="AK244" s="2" t="s">
        <v>142</v>
      </c>
      <c r="AL244" s="2" t="s">
        <v>5642</v>
      </c>
      <c r="AM244" s="2" t="s">
        <v>5643</v>
      </c>
      <c r="AN244" s="2" t="s">
        <v>300</v>
      </c>
      <c r="AO244" s="2" t="s">
        <v>300</v>
      </c>
      <c r="AP244" s="2">
        <v>463042000</v>
      </c>
      <c r="AQ244" s="2">
        <v>463042000</v>
      </c>
      <c r="AR244" s="2" t="s">
        <v>514</v>
      </c>
      <c r="AS244" s="2">
        <v>46328627</v>
      </c>
      <c r="AT244" s="2" t="s">
        <v>5644</v>
      </c>
      <c r="AU244" s="2"/>
      <c r="AV244" s="2"/>
      <c r="AW244" s="2" t="s">
        <v>303</v>
      </c>
      <c r="AX244" s="2">
        <v>4262312</v>
      </c>
      <c r="AY244" s="2" t="s">
        <v>4330</v>
      </c>
      <c r="AZ244" s="2" t="s">
        <v>5645</v>
      </c>
      <c r="BA244" s="2" t="s">
        <v>5646</v>
      </c>
      <c r="BB244" s="2">
        <v>0</v>
      </c>
      <c r="BC244" s="3" t="str">
        <f>HYPERLINK("https://patentscout.innography.com/share/-NBy-ZebiTfR8x2GkArJ9w%3D%3D","US20080070689")</f>
        <v>US20080070689</v>
      </c>
      <c r="BD244" s="2" t="s">
        <v>5647</v>
      </c>
      <c r="BE244" s="2" t="s">
        <v>5648</v>
      </c>
      <c r="BF244" s="2" t="s">
        <v>5649</v>
      </c>
      <c r="BG244" s="2" t="str">
        <f>HYPERLINK("https://patentscout.innography.com/share/-NBy-ZebiTfR8x2GkArJ9w%3D%3D/download", "Download PDF")</f>
        <v>Download PDF</v>
      </c>
      <c r="BH244" s="2" t="s">
        <v>5650</v>
      </c>
      <c r="BI244" s="2"/>
      <c r="BJ244" s="2" t="s">
        <v>5651</v>
      </c>
      <c r="BK244" s="2" t="s">
        <v>5651</v>
      </c>
      <c r="BL244" s="2" t="s">
        <v>4338</v>
      </c>
      <c r="BM244" s="2" t="s">
        <v>313</v>
      </c>
      <c r="BN244" s="2" t="s">
        <v>5652</v>
      </c>
      <c r="BO244" s="2" t="s">
        <v>5653</v>
      </c>
      <c r="BP244" s="2" t="s">
        <v>1477</v>
      </c>
      <c r="BQ244" s="2" t="s">
        <v>5654</v>
      </c>
      <c r="BR244" s="2" t="s">
        <v>5655</v>
      </c>
      <c r="BS244" s="2" t="s">
        <v>5656</v>
      </c>
      <c r="BT244" s="2" t="s">
        <v>5657</v>
      </c>
      <c r="BU244" s="2"/>
      <c r="BV244" s="2"/>
      <c r="BW244" s="2" t="s">
        <v>318</v>
      </c>
      <c r="BX244" s="2"/>
      <c r="BY244" s="2"/>
      <c r="BZ244" s="2"/>
      <c r="CA244" s="2"/>
      <c r="CB244" s="2"/>
      <c r="CC244" s="2" t="s">
        <v>158</v>
      </c>
      <c r="CD244" s="2" t="str">
        <f>HYPERLINK("https://patentscout.innography.com/share/-NBy-ZebiTfR8x2GkArJ9w%3D%3D", "Innography Link")</f>
        <v>Innography Link</v>
      </c>
      <c r="CE244" s="2"/>
      <c r="CF244" s="2"/>
      <c r="CG244" s="2"/>
      <c r="CH244" s="2"/>
      <c r="CI244" s="2"/>
      <c r="CK244" s="2" t="s">
        <v>5658</v>
      </c>
      <c r="CL244" s="2" t="s">
        <v>5659</v>
      </c>
      <c r="CM244" s="2" t="s">
        <v>5660</v>
      </c>
      <c r="CN244" s="2" t="s">
        <v>5661</v>
      </c>
    </row>
    <row r="245" spans="1:93" ht="152" customHeight="1" x14ac:dyDescent="0.45">
      <c r="A245" s="2">
        <v>2</v>
      </c>
      <c r="B245" s="2">
        <v>19</v>
      </c>
      <c r="C245" s="2" t="s">
        <v>5662</v>
      </c>
      <c r="D245" s="2" t="s">
        <v>5663</v>
      </c>
      <c r="E245" s="2" t="s">
        <v>5632</v>
      </c>
      <c r="F245" s="2" t="s">
        <v>5633</v>
      </c>
      <c r="G245" s="2" t="s">
        <v>5633</v>
      </c>
      <c r="H245" s="2" t="s">
        <v>4433</v>
      </c>
      <c r="I245" s="2" t="s">
        <v>5634</v>
      </c>
      <c r="J245" s="2" t="s">
        <v>5664</v>
      </c>
      <c r="K245" s="2" t="s">
        <v>5632</v>
      </c>
      <c r="L245" s="2" t="s">
        <v>4316</v>
      </c>
      <c r="M245" s="2" t="s">
        <v>5635</v>
      </c>
      <c r="N245" s="2" t="s">
        <v>5636</v>
      </c>
      <c r="O245" s="2" t="s">
        <v>5665</v>
      </c>
      <c r="P245" s="2" t="s">
        <v>4320</v>
      </c>
      <c r="Q245" s="2" t="s">
        <v>4321</v>
      </c>
      <c r="R245" s="2" t="s">
        <v>4321</v>
      </c>
      <c r="S245" s="2" t="s">
        <v>4322</v>
      </c>
      <c r="T245" s="2">
        <v>74</v>
      </c>
      <c r="U245" s="2">
        <v>50</v>
      </c>
      <c r="V245" s="2" t="s">
        <v>5638</v>
      </c>
      <c r="W245" s="2" t="s">
        <v>4324</v>
      </c>
      <c r="X245" s="2">
        <v>3718</v>
      </c>
      <c r="Y245" s="2"/>
      <c r="Z245" s="2" t="s">
        <v>5666</v>
      </c>
      <c r="AA245" s="2" t="s">
        <v>5667</v>
      </c>
      <c r="AB245" s="2">
        <v>11</v>
      </c>
      <c r="AC245" s="2" t="s">
        <v>250</v>
      </c>
      <c r="AD245" s="2" t="s">
        <v>5668</v>
      </c>
      <c r="AE245" s="2">
        <v>112</v>
      </c>
      <c r="AF245" s="2" t="s">
        <v>180</v>
      </c>
      <c r="AG245" s="2"/>
      <c r="AH245" s="2"/>
      <c r="AI245" s="2" t="s">
        <v>5651</v>
      </c>
      <c r="AJ245" s="2"/>
      <c r="AK245" s="2" t="s">
        <v>142</v>
      </c>
      <c r="AL245" s="2" t="s">
        <v>5642</v>
      </c>
      <c r="AM245" s="2" t="s">
        <v>5643</v>
      </c>
      <c r="AN245" s="2" t="s">
        <v>300</v>
      </c>
      <c r="AO245" s="2" t="s">
        <v>300</v>
      </c>
      <c r="AP245" s="2">
        <v>463009000</v>
      </c>
      <c r="AQ245" s="2" t="s">
        <v>5669</v>
      </c>
      <c r="AR245" s="2" t="s">
        <v>185</v>
      </c>
      <c r="AS245" s="2">
        <v>46328627</v>
      </c>
      <c r="AT245" s="2" t="s">
        <v>5644</v>
      </c>
      <c r="AU245" s="2"/>
      <c r="AV245" s="2"/>
      <c r="AW245" s="2" t="s">
        <v>3646</v>
      </c>
      <c r="AX245" s="2">
        <v>4262312</v>
      </c>
      <c r="AY245" s="2" t="s">
        <v>4330</v>
      </c>
      <c r="AZ245" s="2" t="s">
        <v>5645</v>
      </c>
      <c r="BA245" s="2" t="s">
        <v>255</v>
      </c>
      <c r="BB245" s="2">
        <v>0</v>
      </c>
      <c r="BC245" s="3" t="str">
        <f>HYPERLINK("https://patentscout.innography.com/share/IpLr-D0jUc79qUUp1AbyeA%3D%3D","US8608536")</f>
        <v>US8608536</v>
      </c>
      <c r="BD245" s="2" t="s">
        <v>5670</v>
      </c>
      <c r="BE245" s="2" t="s">
        <v>5648</v>
      </c>
      <c r="BF245" s="2" t="s">
        <v>5671</v>
      </c>
      <c r="BG245" s="2" t="str">
        <f>HYPERLINK("https://patentscout.innography.com/share/IpLr-D0jUc79qUUp1AbyeA%3D%3D/download", "Download PDF")</f>
        <v>Download PDF</v>
      </c>
      <c r="BH245" s="2" t="s">
        <v>5672</v>
      </c>
      <c r="BI245" s="2"/>
      <c r="BJ245" s="2" t="s">
        <v>5651</v>
      </c>
      <c r="BK245" s="2" t="s">
        <v>5651</v>
      </c>
      <c r="BL245" s="2" t="s">
        <v>4338</v>
      </c>
      <c r="BM245" s="2" t="s">
        <v>313</v>
      </c>
      <c r="BN245" s="2" t="s">
        <v>5652</v>
      </c>
      <c r="BO245" s="2" t="s">
        <v>5653</v>
      </c>
      <c r="BP245" s="2" t="s">
        <v>1477</v>
      </c>
      <c r="BQ245" s="2" t="s">
        <v>5654</v>
      </c>
      <c r="BR245" s="2" t="s">
        <v>5655</v>
      </c>
      <c r="BS245" s="2" t="s">
        <v>5656</v>
      </c>
      <c r="BT245" s="2" t="s">
        <v>5657</v>
      </c>
      <c r="BU245" s="2"/>
      <c r="BV245" s="2"/>
      <c r="BW245" s="2" t="s">
        <v>318</v>
      </c>
      <c r="BX245" s="2"/>
      <c r="BY245" s="2"/>
      <c r="BZ245" s="2"/>
      <c r="CA245" s="2"/>
      <c r="CB245" s="2"/>
      <c r="CC245" s="2" t="s">
        <v>259</v>
      </c>
      <c r="CD245" s="2" t="str">
        <f>HYPERLINK("https://patentscout.innography.com/share/IpLr-D0jUc79qUUp1AbyeA%3D%3D", "Innography Link")</f>
        <v>Innography Link</v>
      </c>
      <c r="CE245" s="2"/>
      <c r="CF245" s="2"/>
      <c r="CG245" s="2"/>
      <c r="CH245" s="2"/>
      <c r="CI245" s="2"/>
      <c r="CK245" s="2" t="s">
        <v>5673</v>
      </c>
      <c r="CL245" s="2" t="s">
        <v>5674</v>
      </c>
      <c r="CM245" s="2" t="s">
        <v>5675</v>
      </c>
    </row>
    <row r="246" spans="1:93" ht="152" customHeight="1" x14ac:dyDescent="0.45">
      <c r="A246" s="2">
        <v>0</v>
      </c>
      <c r="B246" s="2">
        <v>0</v>
      </c>
      <c r="C246" s="2"/>
      <c r="D246" s="2"/>
      <c r="E246" s="2" t="s">
        <v>5676</v>
      </c>
      <c r="F246" s="2"/>
      <c r="G246" s="2" t="s">
        <v>5676</v>
      </c>
      <c r="H246" s="2" t="s">
        <v>5677</v>
      </c>
      <c r="I246" s="2" t="s">
        <v>5678</v>
      </c>
      <c r="J246" s="2" t="s">
        <v>5679</v>
      </c>
      <c r="K246" s="2" t="s">
        <v>5680</v>
      </c>
      <c r="L246" s="2" t="s">
        <v>5680</v>
      </c>
      <c r="M246" s="2" t="s">
        <v>5681</v>
      </c>
      <c r="N246" s="2" t="s">
        <v>5682</v>
      </c>
      <c r="O246" s="2" t="s">
        <v>5683</v>
      </c>
      <c r="P246" s="2" t="s">
        <v>4194</v>
      </c>
      <c r="Q246" s="2" t="s">
        <v>4194</v>
      </c>
      <c r="R246" s="2" t="s">
        <v>4195</v>
      </c>
      <c r="S246" s="2" t="s">
        <v>4194</v>
      </c>
      <c r="T246" s="2">
        <v>74</v>
      </c>
      <c r="U246" s="2">
        <v>23</v>
      </c>
      <c r="V246" s="2" t="s">
        <v>5684</v>
      </c>
      <c r="W246" s="2"/>
      <c r="X246" s="2"/>
      <c r="Y246" s="2"/>
      <c r="Z246" s="2" t="s">
        <v>5685</v>
      </c>
      <c r="AA246" s="2" t="s">
        <v>5686</v>
      </c>
      <c r="AB246" s="2">
        <v>26</v>
      </c>
      <c r="AC246" s="2" t="s">
        <v>214</v>
      </c>
      <c r="AD246" s="2" t="s">
        <v>5687</v>
      </c>
      <c r="AE246" s="2">
        <v>98</v>
      </c>
      <c r="AF246" s="2" t="s">
        <v>141</v>
      </c>
      <c r="AG246" s="2"/>
      <c r="AH246" s="2"/>
      <c r="AI246" s="2"/>
      <c r="AJ246" s="2"/>
      <c r="AK246" s="2" t="s">
        <v>1816</v>
      </c>
      <c r="AL246" s="2" t="s">
        <v>5360</v>
      </c>
      <c r="AM246" s="2" t="s">
        <v>5688</v>
      </c>
      <c r="AN246" s="2" t="s">
        <v>5362</v>
      </c>
      <c r="AO246" s="2" t="s">
        <v>5689</v>
      </c>
      <c r="AP246" s="2">
        <v>713340000</v>
      </c>
      <c r="AQ246" s="2">
        <v>713340000</v>
      </c>
      <c r="AR246" s="2" t="s">
        <v>146</v>
      </c>
      <c r="AS246" s="2">
        <v>70551568</v>
      </c>
      <c r="AT246" s="2" t="s">
        <v>5690</v>
      </c>
      <c r="AU246" s="2"/>
      <c r="AV246" s="2"/>
      <c r="AW246" s="2" t="s">
        <v>3517</v>
      </c>
      <c r="AX246" s="2">
        <v>74224296</v>
      </c>
      <c r="AY246" s="2" t="s">
        <v>5691</v>
      </c>
      <c r="AZ246" s="2" t="s">
        <v>5692</v>
      </c>
      <c r="BA246" s="2" t="s">
        <v>5693</v>
      </c>
      <c r="BB246" s="2">
        <v>0</v>
      </c>
      <c r="BC246" s="3" t="str">
        <f>HYPERLINK("https://patentscout.innography.com/share/0FHppnRk8en_6WUCVnWEkA%3D%3D","CN111176463")</f>
        <v>CN111176463</v>
      </c>
      <c r="BD246" s="2" t="s">
        <v>5694</v>
      </c>
      <c r="BE246" s="2" t="s">
        <v>5695</v>
      </c>
      <c r="BF246" s="2" t="s">
        <v>5696</v>
      </c>
      <c r="BG246" s="2" t="str">
        <f>HYPERLINK("https://patentscout.innography.com/share/0FHppnRk8en_6WUCVnWEkA%3D%3D/download", "Download PDF")</f>
        <v>Download PDF</v>
      </c>
      <c r="BH246" s="2" t="s">
        <v>5697</v>
      </c>
      <c r="BI246" s="2"/>
      <c r="BJ246" s="2" t="s">
        <v>5698</v>
      </c>
      <c r="BK246" s="2" t="s">
        <v>5699</v>
      </c>
      <c r="BL246" s="2" t="s">
        <v>5699</v>
      </c>
      <c r="BM246" s="2"/>
      <c r="BN246" s="2"/>
      <c r="BO246" s="2"/>
      <c r="BP246" s="2"/>
      <c r="BQ246" s="2"/>
      <c r="BR246" s="2"/>
      <c r="BS246" s="2"/>
      <c r="BT246" s="2"/>
      <c r="BU246" s="2" t="s">
        <v>3427</v>
      </c>
      <c r="BV246" s="2" t="s">
        <v>5700</v>
      </c>
      <c r="BW246" s="2"/>
      <c r="BX246" s="2"/>
      <c r="BY246" s="2"/>
      <c r="BZ246" s="2"/>
      <c r="CA246" s="2"/>
      <c r="CB246" s="2"/>
      <c r="CC246" s="2" t="s">
        <v>1829</v>
      </c>
      <c r="CD246" s="2" t="str">
        <f>HYPERLINK("https://patentscout.innography.com/share/0FHppnRk8en_6WUCVnWEkA%3D%3D", "Innography Link")</f>
        <v>Innography Link</v>
      </c>
      <c r="CE246" s="2"/>
      <c r="CF246" s="2"/>
      <c r="CG246" s="2"/>
      <c r="CH246" s="2"/>
      <c r="CI246" s="2"/>
      <c r="CK246" s="2" t="s">
        <v>5701</v>
      </c>
      <c r="CL246" s="2" t="s">
        <v>5702</v>
      </c>
      <c r="CM246" s="2" t="s">
        <v>5703</v>
      </c>
    </row>
    <row r="247" spans="1:93" ht="152" customHeight="1" x14ac:dyDescent="0.45">
      <c r="A247" s="2">
        <v>5</v>
      </c>
      <c r="B247" s="2">
        <v>0</v>
      </c>
      <c r="C247" s="2"/>
      <c r="D247" s="2" t="s">
        <v>5704</v>
      </c>
      <c r="E247" s="2" t="s">
        <v>5705</v>
      </c>
      <c r="F247" s="2" t="s">
        <v>5706</v>
      </c>
      <c r="G247" s="2" t="s">
        <v>5706</v>
      </c>
      <c r="H247" s="2" t="s">
        <v>5707</v>
      </c>
      <c r="I247" s="2" t="s">
        <v>5708</v>
      </c>
      <c r="J247" s="2" t="s">
        <v>5709</v>
      </c>
      <c r="K247" s="2" t="s">
        <v>1480</v>
      </c>
      <c r="L247" s="2" t="s">
        <v>1480</v>
      </c>
      <c r="M247" s="2" t="s">
        <v>5710</v>
      </c>
      <c r="N247" s="2" t="s">
        <v>5711</v>
      </c>
      <c r="O247" s="2" t="s">
        <v>5712</v>
      </c>
      <c r="P247" s="2"/>
      <c r="Q247" s="2" t="s">
        <v>5713</v>
      </c>
      <c r="R247" s="2" t="s">
        <v>5713</v>
      </c>
      <c r="S247" s="2"/>
      <c r="T247" s="2">
        <v>74</v>
      </c>
      <c r="U247" s="2">
        <v>88</v>
      </c>
      <c r="V247" s="2" t="s">
        <v>5714</v>
      </c>
      <c r="W247" s="2"/>
      <c r="X247" s="2"/>
      <c r="Y247" s="2"/>
      <c r="Z247" s="2" t="s">
        <v>5715</v>
      </c>
      <c r="AA247" s="2" t="s">
        <v>5716</v>
      </c>
      <c r="AB247" s="2">
        <v>19</v>
      </c>
      <c r="AC247" s="2" t="s">
        <v>3878</v>
      </c>
      <c r="AD247" s="2" t="s">
        <v>5717</v>
      </c>
      <c r="AE247" s="2">
        <v>144</v>
      </c>
      <c r="AF247" s="2" t="s">
        <v>141</v>
      </c>
      <c r="AG247" s="2"/>
      <c r="AH247" s="2"/>
      <c r="AI247" s="2" t="s">
        <v>5718</v>
      </c>
      <c r="AJ247" s="2"/>
      <c r="AK247" s="2" t="s">
        <v>1816</v>
      </c>
      <c r="AL247" s="2" t="s">
        <v>5719</v>
      </c>
      <c r="AM247" s="2" t="s">
        <v>5720</v>
      </c>
      <c r="AN247" s="2" t="s">
        <v>5721</v>
      </c>
      <c r="AO247" s="2" t="s">
        <v>5721</v>
      </c>
      <c r="AP247" s="2">
        <v>711004000</v>
      </c>
      <c r="AQ247" s="2">
        <v>711004000</v>
      </c>
      <c r="AR247" s="2" t="s">
        <v>3645</v>
      </c>
      <c r="AS247" s="2">
        <v>55852736</v>
      </c>
      <c r="AT247" s="2" t="s">
        <v>5722</v>
      </c>
      <c r="AU247" s="2"/>
      <c r="AV247" s="2"/>
      <c r="AW247" s="2" t="s">
        <v>3879</v>
      </c>
      <c r="AX247" s="2">
        <v>48664501</v>
      </c>
      <c r="AY247" s="2" t="s">
        <v>5723</v>
      </c>
      <c r="AZ247" s="2" t="s">
        <v>5724</v>
      </c>
      <c r="BA247" s="2" t="s">
        <v>5725</v>
      </c>
      <c r="BB247" s="2">
        <v>0</v>
      </c>
      <c r="BC247" s="3" t="str">
        <f>HYPERLINK("https://patentscout.innography.com/share/nxKpSSb-PlY8xRmQBW2hZg%3D%3D","CN105573665")</f>
        <v>CN105573665</v>
      </c>
      <c r="BD247" s="2" t="s">
        <v>5726</v>
      </c>
      <c r="BE247" s="2" t="s">
        <v>5727</v>
      </c>
      <c r="BF247" s="2" t="s">
        <v>5728</v>
      </c>
      <c r="BG247" s="2" t="str">
        <f>HYPERLINK("https://patentscout.innography.com/share/nxKpSSb-PlY8xRmQBW2hZg%3D%3D/download", "Download PDF")</f>
        <v>Download PDF</v>
      </c>
      <c r="BH247" s="2" t="s">
        <v>5729</v>
      </c>
      <c r="BI247" s="2"/>
      <c r="BJ247" s="2" t="s">
        <v>5718</v>
      </c>
      <c r="BK247" s="2" t="s">
        <v>5730</v>
      </c>
      <c r="BL247" s="2" t="s">
        <v>5730</v>
      </c>
      <c r="BM247" s="2"/>
      <c r="BN247" s="2"/>
      <c r="BO247" s="2"/>
      <c r="BP247" s="2"/>
      <c r="BQ247" s="2"/>
      <c r="BR247" s="2"/>
      <c r="BS247" s="2"/>
      <c r="BT247" s="2"/>
      <c r="BU247" s="2"/>
      <c r="BV247" s="2" t="s">
        <v>5731</v>
      </c>
      <c r="BW247" s="2"/>
      <c r="BX247" s="2"/>
      <c r="BY247" s="2"/>
      <c r="BZ247" s="2"/>
      <c r="CA247" s="2"/>
      <c r="CB247" s="2"/>
      <c r="CC247" s="2" t="s">
        <v>3884</v>
      </c>
      <c r="CD247" s="2" t="str">
        <f>HYPERLINK("https://patentscout.innography.com/share/nxKpSSb-PlY8xRmQBW2hZg%3D%3D", "Innography Link")</f>
        <v>Innography Link</v>
      </c>
      <c r="CE247" s="2"/>
      <c r="CF247" s="2"/>
      <c r="CG247" s="2"/>
      <c r="CH247" s="2"/>
      <c r="CI247" s="2"/>
      <c r="CK247" s="2" t="s">
        <v>5732</v>
      </c>
      <c r="CL247" s="2" t="s">
        <v>5733</v>
      </c>
      <c r="CM247" s="2" t="s">
        <v>5734</v>
      </c>
      <c r="CN247" s="2" t="s">
        <v>5735</v>
      </c>
    </row>
    <row r="248" spans="1:93" ht="152" customHeight="1" x14ac:dyDescent="0.45">
      <c r="A248" s="2">
        <v>4</v>
      </c>
      <c r="B248" s="2">
        <v>0</v>
      </c>
      <c r="C248" s="2"/>
      <c r="D248" s="2" t="s">
        <v>5736</v>
      </c>
      <c r="E248" s="2" t="s">
        <v>5737</v>
      </c>
      <c r="F248" s="2" t="s">
        <v>5738</v>
      </c>
      <c r="G248" s="2" t="s">
        <v>5738</v>
      </c>
      <c r="H248" s="2" t="s">
        <v>5705</v>
      </c>
      <c r="I248" s="2" t="s">
        <v>5739</v>
      </c>
      <c r="J248" s="2" t="s">
        <v>5740</v>
      </c>
      <c r="K248" s="2" t="s">
        <v>5741</v>
      </c>
      <c r="L248" s="2" t="s">
        <v>5741</v>
      </c>
      <c r="M248" s="2" t="s">
        <v>5742</v>
      </c>
      <c r="N248" s="2" t="s">
        <v>5743</v>
      </c>
      <c r="O248" s="2" t="s">
        <v>5744</v>
      </c>
      <c r="P248" s="2"/>
      <c r="Q248" s="2" t="s">
        <v>4194</v>
      </c>
      <c r="R248" s="2" t="s">
        <v>4195</v>
      </c>
      <c r="S248" s="2"/>
      <c r="T248" s="2">
        <v>74</v>
      </c>
      <c r="U248" s="2">
        <v>78</v>
      </c>
      <c r="V248" s="2" t="s">
        <v>5745</v>
      </c>
      <c r="W248" s="2"/>
      <c r="X248" s="2"/>
      <c r="Y248" s="2"/>
      <c r="Z248" s="2" t="s">
        <v>5746</v>
      </c>
      <c r="AA248" s="2" t="s">
        <v>5747</v>
      </c>
      <c r="AB248" s="2">
        <v>12</v>
      </c>
      <c r="AC248" s="2" t="s">
        <v>3878</v>
      </c>
      <c r="AD248" s="2" t="s">
        <v>5748</v>
      </c>
      <c r="AE248" s="2">
        <v>144</v>
      </c>
      <c r="AF248" s="2" t="s">
        <v>141</v>
      </c>
      <c r="AG248" s="2"/>
      <c r="AH248" s="2"/>
      <c r="AI248" s="2" t="s">
        <v>5749</v>
      </c>
      <c r="AJ248" s="2"/>
      <c r="AK248" s="2" t="s">
        <v>1816</v>
      </c>
      <c r="AL248" s="2" t="s">
        <v>5750</v>
      </c>
      <c r="AM248" s="2" t="s">
        <v>5751</v>
      </c>
      <c r="AN248" s="2" t="s">
        <v>5752</v>
      </c>
      <c r="AO248" s="2" t="s">
        <v>5753</v>
      </c>
      <c r="AP248" s="2">
        <v>264001230</v>
      </c>
      <c r="AQ248" s="2">
        <v>264001230</v>
      </c>
      <c r="AR248" s="2" t="s">
        <v>1406</v>
      </c>
      <c r="AS248" s="2">
        <v>58644861</v>
      </c>
      <c r="AT248" s="2" t="s">
        <v>5754</v>
      </c>
      <c r="AU248" s="2"/>
      <c r="AV248" s="2"/>
      <c r="AW248" s="2" t="s">
        <v>3879</v>
      </c>
      <c r="AX248" s="2">
        <v>55620493</v>
      </c>
      <c r="AY248" s="2" t="s">
        <v>5755</v>
      </c>
      <c r="AZ248" s="2" t="s">
        <v>5756</v>
      </c>
      <c r="BA248" s="2" t="s">
        <v>5757</v>
      </c>
      <c r="BB248" s="2">
        <v>0</v>
      </c>
      <c r="BC248" s="3" t="str">
        <f>HYPERLINK("https://patentscout.innography.com/share/_bvl08t99Q9kXLjz4PPnHQ%3D%3D","CN107367839")</f>
        <v>CN107367839</v>
      </c>
      <c r="BD248" s="2" t="s">
        <v>5758</v>
      </c>
      <c r="BE248" s="2" t="s">
        <v>5759</v>
      </c>
      <c r="BF248" s="2" t="s">
        <v>5760</v>
      </c>
      <c r="BG248" s="2" t="str">
        <f>HYPERLINK("https://patentscout.innography.com/share/_bvl08t99Q9kXLjz4PPnHQ%3D%3D/download", "Download PDF")</f>
        <v>Download PDF</v>
      </c>
      <c r="BH248" s="2" t="s">
        <v>5761</v>
      </c>
      <c r="BI248" s="2"/>
      <c r="BJ248" s="2" t="s">
        <v>5749</v>
      </c>
      <c r="BK248" s="2" t="s">
        <v>5762</v>
      </c>
      <c r="BL248" s="2" t="s">
        <v>5762</v>
      </c>
      <c r="BM248" s="2"/>
      <c r="BN248" s="2"/>
      <c r="BO248" s="2"/>
      <c r="BP248" s="2"/>
      <c r="BQ248" s="2"/>
      <c r="BR248" s="2"/>
      <c r="BS248" s="2"/>
      <c r="BT248" s="2"/>
      <c r="BU248" s="2"/>
      <c r="BV248" s="2" t="s">
        <v>4600</v>
      </c>
      <c r="BW248" s="2"/>
      <c r="BX248" s="2"/>
      <c r="BY248" s="2"/>
      <c r="BZ248" s="2"/>
      <c r="CA248" s="2"/>
      <c r="CB248" s="2"/>
      <c r="CC248" s="2" t="s">
        <v>3884</v>
      </c>
      <c r="CD248" s="2" t="str">
        <f>HYPERLINK("https://patentscout.innography.com/share/_bvl08t99Q9kXLjz4PPnHQ%3D%3D", "Innography Link")</f>
        <v>Innography Link</v>
      </c>
      <c r="CE248" s="2"/>
      <c r="CF248" s="2"/>
      <c r="CG248" s="2"/>
      <c r="CH248" s="2"/>
      <c r="CI248" s="2"/>
      <c r="CK248" s="2" t="s">
        <v>5763</v>
      </c>
      <c r="CL248" s="2" t="s">
        <v>5764</v>
      </c>
      <c r="CM248" s="2" t="s">
        <v>5765</v>
      </c>
      <c r="CN248" s="2" t="s">
        <v>5766</v>
      </c>
    </row>
    <row r="249" spans="1:93" ht="152" customHeight="1" x14ac:dyDescent="0.45">
      <c r="A249" s="2">
        <v>2</v>
      </c>
      <c r="B249" s="2">
        <v>0</v>
      </c>
      <c r="C249" s="2"/>
      <c r="D249" s="2" t="s">
        <v>5767</v>
      </c>
      <c r="E249" s="2" t="s">
        <v>5768</v>
      </c>
      <c r="F249" s="2"/>
      <c r="G249" s="2" t="s">
        <v>5768</v>
      </c>
      <c r="H249" s="2" t="s">
        <v>5769</v>
      </c>
      <c r="I249" s="2" t="s">
        <v>5770</v>
      </c>
      <c r="J249" s="2" t="s">
        <v>951</v>
      </c>
      <c r="K249" s="2" t="s">
        <v>5768</v>
      </c>
      <c r="L249" s="2" t="s">
        <v>5768</v>
      </c>
      <c r="M249" s="2" t="s">
        <v>5771</v>
      </c>
      <c r="N249" s="2" t="s">
        <v>5772</v>
      </c>
      <c r="O249" s="2" t="s">
        <v>5773</v>
      </c>
      <c r="P249" s="2" t="s">
        <v>5774</v>
      </c>
      <c r="Q249" s="2" t="s">
        <v>5775</v>
      </c>
      <c r="R249" s="2" t="s">
        <v>5775</v>
      </c>
      <c r="S249" s="2" t="s">
        <v>5774</v>
      </c>
      <c r="T249" s="2">
        <v>74</v>
      </c>
      <c r="U249" s="2">
        <v>40</v>
      </c>
      <c r="V249" s="2" t="s">
        <v>5776</v>
      </c>
      <c r="W249" s="2"/>
      <c r="X249" s="2"/>
      <c r="Y249" s="2"/>
      <c r="Z249" s="2" t="s">
        <v>5777</v>
      </c>
      <c r="AA249" s="2" t="s">
        <v>5778</v>
      </c>
      <c r="AB249" s="2">
        <v>14</v>
      </c>
      <c r="AC249" s="2" t="s">
        <v>214</v>
      </c>
      <c r="AD249" s="2" t="s">
        <v>5779</v>
      </c>
      <c r="AE249" s="2">
        <v>108</v>
      </c>
      <c r="AF249" s="2" t="s">
        <v>180</v>
      </c>
      <c r="AG249" s="2"/>
      <c r="AH249" s="2"/>
      <c r="AI249" s="2"/>
      <c r="AJ249" s="2"/>
      <c r="AK249" s="2" t="s">
        <v>1816</v>
      </c>
      <c r="AL249" s="2" t="s">
        <v>1146</v>
      </c>
      <c r="AM249" s="2" t="s">
        <v>5780</v>
      </c>
      <c r="AN249" s="2" t="s">
        <v>1588</v>
      </c>
      <c r="AO249" s="2" t="s">
        <v>5781</v>
      </c>
      <c r="AP249" s="2">
        <v>340005530</v>
      </c>
      <c r="AQ249" s="2">
        <v>340005530</v>
      </c>
      <c r="AR249" s="2" t="s">
        <v>275</v>
      </c>
      <c r="AS249" s="2">
        <v>73015953</v>
      </c>
      <c r="AT249" s="2" t="s">
        <v>5782</v>
      </c>
      <c r="AU249" s="2"/>
      <c r="AV249" s="2"/>
      <c r="AW249" s="2" t="s">
        <v>1821</v>
      </c>
      <c r="AX249" s="2">
        <v>77555772</v>
      </c>
      <c r="AY249" s="2" t="s">
        <v>5783</v>
      </c>
      <c r="AZ249" s="2" t="s">
        <v>5784</v>
      </c>
      <c r="BA249" s="2" t="s">
        <v>255</v>
      </c>
      <c r="BB249" s="2">
        <v>0</v>
      </c>
      <c r="BC249" s="3" t="str">
        <f>HYPERLINK("https://patentscout.innography.com/share/hMN291n4hoN6_pH_6en4tg%3D%3D","CN111882669")</f>
        <v>CN111882669</v>
      </c>
      <c r="BD249" s="2" t="s">
        <v>5785</v>
      </c>
      <c r="BE249" s="2" t="s">
        <v>5786</v>
      </c>
      <c r="BF249" s="2" t="s">
        <v>5787</v>
      </c>
      <c r="BG249" s="2" t="str">
        <f>HYPERLINK("https://patentscout.innography.com/share/hMN291n4hoN6_pH_6en4tg%3D%3D/download", "Download PDF")</f>
        <v>Download PDF</v>
      </c>
      <c r="BH249" s="2" t="s">
        <v>5788</v>
      </c>
      <c r="BI249" s="2"/>
      <c r="BJ249" s="2" t="s">
        <v>5789</v>
      </c>
      <c r="BK249" s="2" t="s">
        <v>5790</v>
      </c>
      <c r="BL249" s="2" t="s">
        <v>5790</v>
      </c>
      <c r="BM249" s="2"/>
      <c r="BN249" s="2"/>
      <c r="BO249" s="2"/>
      <c r="BP249" s="2"/>
      <c r="BQ249" s="2"/>
      <c r="BR249" s="2"/>
      <c r="BS249" s="2"/>
      <c r="BT249" s="2"/>
      <c r="BU249" s="2" t="s">
        <v>5791</v>
      </c>
      <c r="BV249" s="2" t="s">
        <v>5792</v>
      </c>
      <c r="BW249" s="2"/>
      <c r="BX249" s="2"/>
      <c r="BY249" s="2"/>
      <c r="BZ249" s="2"/>
      <c r="CA249" s="2"/>
      <c r="CB249" s="2"/>
      <c r="CC249" s="2" t="s">
        <v>1829</v>
      </c>
      <c r="CD249" s="2" t="str">
        <f>HYPERLINK("https://patentscout.innography.com/share/hMN291n4hoN6_pH_6en4tg%3D%3D", "Innography Link")</f>
        <v>Innography Link</v>
      </c>
      <c r="CE249" s="2"/>
      <c r="CF249" s="2"/>
      <c r="CG249" s="2"/>
      <c r="CH249" s="2"/>
      <c r="CI249" s="2"/>
      <c r="CK249" s="2" t="s">
        <v>5793</v>
      </c>
      <c r="CL249" s="2" t="s">
        <v>5794</v>
      </c>
      <c r="CM249" s="2" t="s">
        <v>5795</v>
      </c>
    </row>
    <row r="250" spans="1:93" ht="152" customHeight="1" x14ac:dyDescent="0.45">
      <c r="A250" s="2">
        <v>3</v>
      </c>
      <c r="B250" s="2">
        <v>0</v>
      </c>
      <c r="C250" s="2"/>
      <c r="D250" s="2" t="s">
        <v>5796</v>
      </c>
      <c r="E250" s="2" t="s">
        <v>5797</v>
      </c>
      <c r="F250" s="2" t="s">
        <v>5798</v>
      </c>
      <c r="G250" s="2" t="s">
        <v>5798</v>
      </c>
      <c r="H250" s="2" t="s">
        <v>5799</v>
      </c>
      <c r="I250" s="2" t="s">
        <v>5799</v>
      </c>
      <c r="J250" s="2" t="s">
        <v>5800</v>
      </c>
      <c r="K250" s="2" t="s">
        <v>5797</v>
      </c>
      <c r="L250" s="2" t="s">
        <v>5797</v>
      </c>
      <c r="M250" s="2" t="s">
        <v>5801</v>
      </c>
      <c r="N250" s="2" t="s">
        <v>5802</v>
      </c>
      <c r="O250" s="2" t="s">
        <v>5803</v>
      </c>
      <c r="P250" s="2"/>
      <c r="Q250" s="2" t="s">
        <v>5804</v>
      </c>
      <c r="R250" s="2" t="s">
        <v>5804</v>
      </c>
      <c r="S250" s="2"/>
      <c r="T250" s="2">
        <v>74</v>
      </c>
      <c r="U250" s="2">
        <v>83</v>
      </c>
      <c r="V250" s="2" t="s">
        <v>5805</v>
      </c>
      <c r="W250" s="2"/>
      <c r="X250" s="2"/>
      <c r="Y250" s="2"/>
      <c r="Z250" s="2" t="s">
        <v>5806</v>
      </c>
      <c r="AA250" s="2" t="s">
        <v>5807</v>
      </c>
      <c r="AB250" s="2">
        <v>17</v>
      </c>
      <c r="AC250" s="2" t="s">
        <v>3878</v>
      </c>
      <c r="AD250" s="2" t="s">
        <v>5808</v>
      </c>
      <c r="AE250" s="2">
        <v>223</v>
      </c>
      <c r="AF250" s="2" t="s">
        <v>141</v>
      </c>
      <c r="AG250" s="2"/>
      <c r="AH250" s="2"/>
      <c r="AI250" s="2" t="s">
        <v>5809</v>
      </c>
      <c r="AJ250" s="2"/>
      <c r="AK250" s="2" t="s">
        <v>1816</v>
      </c>
      <c r="AL250" s="2" t="s">
        <v>5750</v>
      </c>
      <c r="AM250" s="2" t="s">
        <v>5750</v>
      </c>
      <c r="AN250" s="2" t="s">
        <v>5752</v>
      </c>
      <c r="AO250" s="2" t="s">
        <v>5752</v>
      </c>
      <c r="AP250" s="2">
        <v>264001230</v>
      </c>
      <c r="AQ250" s="2">
        <v>264001230</v>
      </c>
      <c r="AR250" s="2" t="s">
        <v>3645</v>
      </c>
      <c r="AS250" s="2">
        <v>63229195</v>
      </c>
      <c r="AT250" s="2" t="s">
        <v>5810</v>
      </c>
      <c r="AU250" s="2"/>
      <c r="AV250" s="2"/>
      <c r="AW250" s="2" t="s">
        <v>3879</v>
      </c>
      <c r="AX250" s="2">
        <v>58795352</v>
      </c>
      <c r="AY250" s="2" t="s">
        <v>5811</v>
      </c>
      <c r="AZ250" s="2" t="s">
        <v>5812</v>
      </c>
      <c r="BA250" s="2" t="s">
        <v>5813</v>
      </c>
      <c r="BB250" s="2">
        <v>0</v>
      </c>
      <c r="BC250" s="3" t="str">
        <f>HYPERLINK("https://patentscout.innography.com/share/6gWiS_THQRpB0CvUNukwFA%3D%3D","CN108459412")</f>
        <v>CN108459412</v>
      </c>
      <c r="BD250" s="2" t="s">
        <v>5814</v>
      </c>
      <c r="BE250" s="2" t="s">
        <v>5815</v>
      </c>
      <c r="BF250" s="2" t="s">
        <v>5816</v>
      </c>
      <c r="BG250" s="2" t="str">
        <f>HYPERLINK("https://patentscout.innography.com/share/6gWiS_THQRpB0CvUNukwFA%3D%3D/download", "Download PDF")</f>
        <v>Download PDF</v>
      </c>
      <c r="BH250" s="2" t="s">
        <v>5817</v>
      </c>
      <c r="BI250" s="2"/>
      <c r="BJ250" s="2" t="s">
        <v>5809</v>
      </c>
      <c r="BK250" s="2" t="s">
        <v>5809</v>
      </c>
      <c r="BL250" s="2" t="s">
        <v>5809</v>
      </c>
      <c r="BM250" s="2"/>
      <c r="BN250" s="2"/>
      <c r="BO250" s="2"/>
      <c r="BP250" s="2"/>
      <c r="BQ250" s="2"/>
      <c r="BR250" s="2"/>
      <c r="BS250" s="2"/>
      <c r="BT250" s="2"/>
      <c r="BU250" s="2"/>
      <c r="BV250" s="2"/>
      <c r="BW250" s="2"/>
      <c r="BX250" s="2"/>
      <c r="BY250" s="2"/>
      <c r="BZ250" s="2"/>
      <c r="CA250" s="2"/>
      <c r="CB250" s="2"/>
      <c r="CC250" s="2" t="s">
        <v>3884</v>
      </c>
      <c r="CD250" s="2" t="str">
        <f>HYPERLINK("https://patentscout.innography.com/share/6gWiS_THQRpB0CvUNukwFA%3D%3D", "Innography Link")</f>
        <v>Innography Link</v>
      </c>
      <c r="CE250" s="2"/>
      <c r="CF250" s="2"/>
      <c r="CG250" s="2"/>
      <c r="CH250" s="2"/>
      <c r="CI250" s="2"/>
      <c r="CK250" s="2" t="s">
        <v>5818</v>
      </c>
      <c r="CL250" s="2" t="s">
        <v>5819</v>
      </c>
    </row>
    <row r="251" spans="1:93" ht="152" customHeight="1" x14ac:dyDescent="0.45">
      <c r="A251" s="2">
        <v>0</v>
      </c>
      <c r="B251" s="2">
        <v>2</v>
      </c>
      <c r="C251" s="2" t="s">
        <v>5820</v>
      </c>
      <c r="D251" s="2"/>
      <c r="E251" s="2" t="s">
        <v>5821</v>
      </c>
      <c r="F251" s="2"/>
      <c r="G251" s="2" t="s">
        <v>5821</v>
      </c>
      <c r="H251" s="2" t="s">
        <v>5822</v>
      </c>
      <c r="I251" s="2" t="s">
        <v>2280</v>
      </c>
      <c r="J251" s="2" t="s">
        <v>5823</v>
      </c>
      <c r="K251" s="2" t="s">
        <v>5821</v>
      </c>
      <c r="L251" s="2" t="s">
        <v>5821</v>
      </c>
      <c r="M251" s="2" t="s">
        <v>5824</v>
      </c>
      <c r="N251" s="2" t="s">
        <v>5825</v>
      </c>
      <c r="O251" s="2"/>
      <c r="P251" s="2" t="s">
        <v>5826</v>
      </c>
      <c r="Q251" s="2"/>
      <c r="R251" s="2"/>
      <c r="S251" s="2" t="s">
        <v>5826</v>
      </c>
      <c r="T251" s="2">
        <v>74</v>
      </c>
      <c r="U251" s="2">
        <v>23</v>
      </c>
      <c r="V251" s="2" t="s">
        <v>5827</v>
      </c>
      <c r="W251" s="2"/>
      <c r="X251" s="2"/>
      <c r="Y251" s="2"/>
      <c r="Z251" s="2" t="s">
        <v>5828</v>
      </c>
      <c r="AA251" s="2" t="s">
        <v>5829</v>
      </c>
      <c r="AB251" s="2">
        <v>50</v>
      </c>
      <c r="AC251" s="2" t="s">
        <v>139</v>
      </c>
      <c r="AD251" s="2" t="s">
        <v>5826</v>
      </c>
      <c r="AE251" s="2">
        <v>74</v>
      </c>
      <c r="AF251" s="2" t="s">
        <v>141</v>
      </c>
      <c r="AG251" s="2" t="s">
        <v>5830</v>
      </c>
      <c r="AH251" s="2"/>
      <c r="AI251" s="2"/>
      <c r="AJ251" s="2"/>
      <c r="AK251" s="2" t="s">
        <v>619</v>
      </c>
      <c r="AL251" s="2" t="s">
        <v>5831</v>
      </c>
      <c r="AM251" s="2" t="s">
        <v>5832</v>
      </c>
      <c r="AN251" s="2" t="s">
        <v>1304</v>
      </c>
      <c r="AO251" s="2" t="s">
        <v>5833</v>
      </c>
      <c r="AP251" s="2">
        <v>705348000</v>
      </c>
      <c r="AQ251" s="2">
        <v>705348000</v>
      </c>
      <c r="AR251" s="2" t="s">
        <v>146</v>
      </c>
      <c r="AS251" s="2">
        <v>84140309</v>
      </c>
      <c r="AT251" s="2" t="s">
        <v>5834</v>
      </c>
      <c r="AU251" s="2"/>
      <c r="AV251" s="2"/>
      <c r="AW251" s="2" t="s">
        <v>624</v>
      </c>
      <c r="AX251" s="2">
        <v>92588679</v>
      </c>
      <c r="AY251" s="2" t="s">
        <v>5835</v>
      </c>
      <c r="AZ251" s="2" t="s">
        <v>5836</v>
      </c>
      <c r="BA251" s="2" t="s">
        <v>5837</v>
      </c>
      <c r="BB251" s="2">
        <v>0</v>
      </c>
      <c r="BC251" s="3" t="str">
        <f>HYPERLINK("https://patentscout.innography.com/share/EeyK7PEjIIHHKGKii7zoyg%3D%3D","WO2022243939")</f>
        <v>WO2022243939</v>
      </c>
      <c r="BD251" s="2" t="s">
        <v>5838</v>
      </c>
      <c r="BE251" s="2"/>
      <c r="BF251" s="2" t="s">
        <v>5839</v>
      </c>
      <c r="BG251" s="2" t="str">
        <f>HYPERLINK("https://patentscout.innography.com/share/EeyK7PEjIIHHKGKii7zoyg%3D%3D/download", "Download PDF")</f>
        <v>Download PDF</v>
      </c>
      <c r="BH251" s="2" t="s">
        <v>5840</v>
      </c>
      <c r="BI251" s="2"/>
      <c r="BJ251" s="2" t="s">
        <v>5835</v>
      </c>
      <c r="BK251" s="2" t="s">
        <v>5835</v>
      </c>
      <c r="BL251" s="2" t="s">
        <v>5835</v>
      </c>
      <c r="BM251" s="2"/>
      <c r="BN251" s="2"/>
      <c r="BO251" s="2"/>
      <c r="BP251" s="2"/>
      <c r="BQ251" s="2"/>
      <c r="BR251" s="2"/>
      <c r="BS251" s="2"/>
      <c r="BT251" s="2"/>
      <c r="BU251" s="2"/>
      <c r="BV251" s="2"/>
      <c r="BW251" s="2"/>
      <c r="BX251" s="2"/>
      <c r="BY251" s="2"/>
      <c r="BZ251" s="2"/>
      <c r="CA251" s="2"/>
      <c r="CB251" s="2"/>
      <c r="CC251" s="2" t="s">
        <v>635</v>
      </c>
      <c r="CD251" s="2" t="str">
        <f>HYPERLINK("https://patentscout.innography.com/share/EeyK7PEjIIHHKGKii7zoyg%3D%3D", "Innography Link")</f>
        <v>Innography Link</v>
      </c>
      <c r="CE251" s="2"/>
      <c r="CF251" s="2"/>
      <c r="CG251" s="2"/>
      <c r="CH251" s="2"/>
      <c r="CI251" s="2"/>
      <c r="CK251" s="2" t="s">
        <v>5841</v>
      </c>
      <c r="CL251" s="2" t="s">
        <v>5842</v>
      </c>
      <c r="CM251" s="2" t="s">
        <v>5843</v>
      </c>
      <c r="CN251" s="2" t="s">
        <v>5844</v>
      </c>
      <c r="CO251" s="2" t="s">
        <v>5845</v>
      </c>
    </row>
    <row r="252" spans="1:93" ht="152" customHeight="1" x14ac:dyDescent="0.45">
      <c r="A252" s="2">
        <v>2</v>
      </c>
      <c r="B252" s="2">
        <v>0</v>
      </c>
      <c r="C252" s="2"/>
      <c r="D252" s="2" t="s">
        <v>5846</v>
      </c>
      <c r="E252" s="2" t="s">
        <v>5847</v>
      </c>
      <c r="F252" s="2" t="s">
        <v>5848</v>
      </c>
      <c r="G252" s="2" t="s">
        <v>5848</v>
      </c>
      <c r="H252" s="2" t="s">
        <v>5849</v>
      </c>
      <c r="I252" s="2" t="s">
        <v>5850</v>
      </c>
      <c r="J252" s="2" t="s">
        <v>5851</v>
      </c>
      <c r="K252" s="2" t="s">
        <v>5852</v>
      </c>
      <c r="L252" s="2" t="s">
        <v>5852</v>
      </c>
      <c r="M252" s="2" t="s">
        <v>5853</v>
      </c>
      <c r="N252" s="2" t="s">
        <v>5802</v>
      </c>
      <c r="O252" s="2"/>
      <c r="P252" s="2"/>
      <c r="Q252" s="2" t="s">
        <v>5804</v>
      </c>
      <c r="R252" s="2" t="s">
        <v>5804</v>
      </c>
      <c r="S252" s="2"/>
      <c r="T252" s="2">
        <v>74</v>
      </c>
      <c r="U252" s="2">
        <v>75</v>
      </c>
      <c r="V252" s="2" t="s">
        <v>5854</v>
      </c>
      <c r="W252" s="2"/>
      <c r="X252" s="2"/>
      <c r="Y252" s="2"/>
      <c r="Z252" s="2" t="s">
        <v>5855</v>
      </c>
      <c r="AA252" s="2" t="s">
        <v>5856</v>
      </c>
      <c r="AB252" s="2">
        <v>10</v>
      </c>
      <c r="AC252" s="2" t="s">
        <v>3878</v>
      </c>
      <c r="AD252" s="2" t="s">
        <v>5857</v>
      </c>
      <c r="AE252" s="2">
        <v>118</v>
      </c>
      <c r="AF252" s="2" t="s">
        <v>141</v>
      </c>
      <c r="AG252" s="2"/>
      <c r="AH252" s="2"/>
      <c r="AI252" s="2" t="s">
        <v>5858</v>
      </c>
      <c r="AJ252" s="2"/>
      <c r="AK252" s="2" t="s">
        <v>1816</v>
      </c>
      <c r="AL252" s="2" t="s">
        <v>5859</v>
      </c>
      <c r="AM252" s="2" t="s">
        <v>5860</v>
      </c>
      <c r="AN252" s="2" t="s">
        <v>5752</v>
      </c>
      <c r="AO252" s="2" t="s">
        <v>5861</v>
      </c>
      <c r="AP252" s="2">
        <v>264001230</v>
      </c>
      <c r="AQ252" s="2">
        <v>264001230</v>
      </c>
      <c r="AR252" s="2" t="s">
        <v>1406</v>
      </c>
      <c r="AS252" s="2">
        <v>62951394</v>
      </c>
      <c r="AT252" s="2" t="s">
        <v>5862</v>
      </c>
      <c r="AU252" s="2"/>
      <c r="AV252" s="2"/>
      <c r="AW252" s="2" t="s">
        <v>3879</v>
      </c>
      <c r="AX252" s="2">
        <v>58485121</v>
      </c>
      <c r="AY252" s="2" t="s">
        <v>5863</v>
      </c>
      <c r="AZ252" s="2" t="s">
        <v>5864</v>
      </c>
      <c r="BA252" s="2" t="s">
        <v>5865</v>
      </c>
      <c r="BB252" s="2">
        <v>0</v>
      </c>
      <c r="BC252" s="3" t="str">
        <f>HYPERLINK("https://patentscout.innography.com/share/cklh5TDjMIHVaDcaPpi0yA%3D%3D","CN108693645")</f>
        <v>CN108693645</v>
      </c>
      <c r="BD252" s="2" t="s">
        <v>5866</v>
      </c>
      <c r="BE252" s="2" t="s">
        <v>5867</v>
      </c>
      <c r="BF252" s="2" t="s">
        <v>5868</v>
      </c>
      <c r="BG252" s="2" t="str">
        <f>HYPERLINK("https://patentscout.innography.com/share/cklh5TDjMIHVaDcaPpi0yA%3D%3D/download", "Download PDF")</f>
        <v>Download PDF</v>
      </c>
      <c r="BH252" s="2" t="s">
        <v>5869</v>
      </c>
      <c r="BI252" s="2"/>
      <c r="BJ252" s="2" t="s">
        <v>5858</v>
      </c>
      <c r="BK252" s="2" t="s">
        <v>5870</v>
      </c>
      <c r="BL252" s="2" t="s">
        <v>5870</v>
      </c>
      <c r="BM252" s="2"/>
      <c r="BN252" s="2"/>
      <c r="BO252" s="2"/>
      <c r="BP252" s="2"/>
      <c r="BQ252" s="2"/>
      <c r="BR252" s="2"/>
      <c r="BS252" s="2"/>
      <c r="BT252" s="2"/>
      <c r="BU252" s="2"/>
      <c r="BV252" s="2" t="s">
        <v>5871</v>
      </c>
      <c r="BW252" s="2"/>
      <c r="BX252" s="2"/>
      <c r="BY252" s="2"/>
      <c r="BZ252" s="2"/>
      <c r="CA252" s="2"/>
      <c r="CB252" s="2"/>
      <c r="CC252" s="2" t="s">
        <v>3884</v>
      </c>
      <c r="CD252" s="2" t="str">
        <f>HYPERLINK("https://patentscout.innography.com/share/cklh5TDjMIHVaDcaPpi0yA%3D%3D", "Innography Link")</f>
        <v>Innography Link</v>
      </c>
      <c r="CE252" s="2"/>
      <c r="CF252" s="2"/>
      <c r="CG252" s="2"/>
      <c r="CH252" s="2"/>
      <c r="CI252" s="2"/>
      <c r="CK252" s="2" t="s">
        <v>5872</v>
      </c>
    </row>
    <row r="253" spans="1:93" ht="152" customHeight="1" x14ac:dyDescent="0.45">
      <c r="A253" s="2">
        <v>0</v>
      </c>
      <c r="B253" s="2">
        <v>5</v>
      </c>
      <c r="C253" s="2" t="s">
        <v>5873</v>
      </c>
      <c r="D253" s="2"/>
      <c r="E253" s="2" t="s">
        <v>5874</v>
      </c>
      <c r="F253" s="2"/>
      <c r="G253" s="2" t="s">
        <v>5874</v>
      </c>
      <c r="H253" s="2" t="s">
        <v>5875</v>
      </c>
      <c r="I253" s="2" t="s">
        <v>1624</v>
      </c>
      <c r="J253" s="2" t="s">
        <v>5876</v>
      </c>
      <c r="K253" s="2" t="s">
        <v>5874</v>
      </c>
      <c r="L253" s="2" t="s">
        <v>5874</v>
      </c>
      <c r="M253" s="2" t="s">
        <v>5877</v>
      </c>
      <c r="N253" s="2" t="s">
        <v>5878</v>
      </c>
      <c r="O253" s="2" t="s">
        <v>5879</v>
      </c>
      <c r="P253" s="2" t="s">
        <v>5880</v>
      </c>
      <c r="Q253" s="2"/>
      <c r="R253" s="2"/>
      <c r="S253" s="2" t="s">
        <v>5880</v>
      </c>
      <c r="T253" s="2">
        <v>74</v>
      </c>
      <c r="U253" s="2">
        <v>12</v>
      </c>
      <c r="V253" s="2" t="s">
        <v>5881</v>
      </c>
      <c r="W253" s="2"/>
      <c r="X253" s="2"/>
      <c r="Y253" s="2"/>
      <c r="Z253" s="2" t="s">
        <v>5882</v>
      </c>
      <c r="AA253" s="2" t="s">
        <v>5883</v>
      </c>
      <c r="AB253" s="2">
        <v>20</v>
      </c>
      <c r="AC253" s="2" t="s">
        <v>139</v>
      </c>
      <c r="AD253" s="2" t="s">
        <v>5884</v>
      </c>
      <c r="AE253" s="2">
        <v>49</v>
      </c>
      <c r="AF253" s="2" t="s">
        <v>141</v>
      </c>
      <c r="AG253" s="2" t="s">
        <v>796</v>
      </c>
      <c r="AH253" s="2"/>
      <c r="AI253" s="2"/>
      <c r="AJ253" s="2"/>
      <c r="AK253" s="2" t="s">
        <v>619</v>
      </c>
      <c r="AL253" s="2" t="s">
        <v>5885</v>
      </c>
      <c r="AM253" s="2" t="s">
        <v>5886</v>
      </c>
      <c r="AN253" s="2" t="s">
        <v>359</v>
      </c>
      <c r="AO253" s="2" t="s">
        <v>5887</v>
      </c>
      <c r="AP253" s="2">
        <v>705348000</v>
      </c>
      <c r="AQ253" s="2">
        <v>705348000</v>
      </c>
      <c r="AR253" s="2" t="s">
        <v>541</v>
      </c>
      <c r="AS253" s="2">
        <v>80491266</v>
      </c>
      <c r="AT253" s="2" t="s">
        <v>5888</v>
      </c>
      <c r="AU253" s="2"/>
      <c r="AV253" s="2"/>
      <c r="AW253" s="2" t="s">
        <v>624</v>
      </c>
      <c r="AX253" s="2">
        <v>86144937</v>
      </c>
      <c r="AY253" s="2" t="s">
        <v>5889</v>
      </c>
      <c r="AZ253" s="2" t="s">
        <v>5890</v>
      </c>
      <c r="BA253" s="2" t="s">
        <v>5891</v>
      </c>
      <c r="BB253" s="2">
        <v>0</v>
      </c>
      <c r="BC253" s="3" t="str">
        <f>HYPERLINK("https://patentscout.innography.com/share/Aa6BTsxaTi3zBVrcdXxweA%3D%3D","WO2022050739")</f>
        <v>WO2022050739</v>
      </c>
      <c r="BD253" s="2" t="s">
        <v>5892</v>
      </c>
      <c r="BE253" s="2" t="s">
        <v>5893</v>
      </c>
      <c r="BF253" s="2" t="s">
        <v>5894</v>
      </c>
      <c r="BG253" s="2" t="str">
        <f>HYPERLINK("https://patentscout.innography.com/share/Aa6BTsxaTi3zBVrcdXxweA%3D%3D/download", "Download PDF")</f>
        <v>Download PDF</v>
      </c>
      <c r="BH253" s="2" t="s">
        <v>5895</v>
      </c>
      <c r="BI253" s="2"/>
      <c r="BJ253" s="2" t="s">
        <v>5896</v>
      </c>
      <c r="BK253" s="2" t="s">
        <v>5897</v>
      </c>
      <c r="BL253" s="2" t="s">
        <v>5898</v>
      </c>
      <c r="BM253" s="2"/>
      <c r="BN253" s="2"/>
      <c r="BO253" s="2"/>
      <c r="BP253" s="2"/>
      <c r="BQ253" s="2"/>
      <c r="BR253" s="2"/>
      <c r="BS253" s="2"/>
      <c r="BT253" s="2"/>
      <c r="BU253" s="2"/>
      <c r="BV253" s="2"/>
      <c r="BW253" s="2"/>
      <c r="BX253" s="2"/>
      <c r="BY253" s="2"/>
      <c r="BZ253" s="2"/>
      <c r="CA253" s="2"/>
      <c r="CB253" s="2"/>
      <c r="CC253" s="2" t="s">
        <v>635</v>
      </c>
      <c r="CD253" s="2" t="str">
        <f>HYPERLINK("https://patentscout.innography.com/share/Aa6BTsxaTi3zBVrcdXxweA%3D%3D", "Innography Link")</f>
        <v>Innography Link</v>
      </c>
      <c r="CE253" s="2"/>
      <c r="CF253" s="2"/>
      <c r="CG253" s="2"/>
      <c r="CH253" s="2"/>
      <c r="CI253" s="2"/>
      <c r="CK253" s="2" t="s">
        <v>5899</v>
      </c>
      <c r="CL253" s="2" t="s">
        <v>5900</v>
      </c>
      <c r="CM253" s="2" t="s">
        <v>5901</v>
      </c>
      <c r="CN253" s="2" t="s">
        <v>5902</v>
      </c>
      <c r="CO253" s="2" t="s">
        <v>5903</v>
      </c>
    </row>
    <row r="254" spans="1:93" ht="152" customHeight="1" x14ac:dyDescent="0.45">
      <c r="A254" s="2">
        <v>0</v>
      </c>
      <c r="B254" s="2">
        <v>2</v>
      </c>
      <c r="C254" s="2" t="s">
        <v>5904</v>
      </c>
      <c r="D254" s="2"/>
      <c r="E254" s="2" t="s">
        <v>5905</v>
      </c>
      <c r="F254" s="2"/>
      <c r="G254" s="2" t="s">
        <v>5905</v>
      </c>
      <c r="H254" s="2" t="s">
        <v>5875</v>
      </c>
      <c r="I254" s="2" t="s">
        <v>982</v>
      </c>
      <c r="J254" s="2" t="s">
        <v>983</v>
      </c>
      <c r="K254" s="2" t="s">
        <v>5905</v>
      </c>
      <c r="L254" s="2" t="s">
        <v>5874</v>
      </c>
      <c r="M254" s="2" t="s">
        <v>5906</v>
      </c>
      <c r="N254" s="2" t="s">
        <v>5907</v>
      </c>
      <c r="O254" s="2"/>
      <c r="P254" s="2" t="s">
        <v>5880</v>
      </c>
      <c r="Q254" s="2"/>
      <c r="R254" s="2"/>
      <c r="S254" s="2" t="s">
        <v>5880</v>
      </c>
      <c r="T254" s="2">
        <v>74</v>
      </c>
      <c r="U254" s="2">
        <v>9</v>
      </c>
      <c r="V254" s="2" t="s">
        <v>5908</v>
      </c>
      <c r="W254" s="2"/>
      <c r="X254" s="2"/>
      <c r="Y254" s="2"/>
      <c r="Z254" s="2" t="s">
        <v>5882</v>
      </c>
      <c r="AA254" s="2" t="s">
        <v>5909</v>
      </c>
      <c r="AB254" s="2">
        <v>20</v>
      </c>
      <c r="AC254" s="2" t="s">
        <v>214</v>
      </c>
      <c r="AD254" s="2" t="s">
        <v>5884</v>
      </c>
      <c r="AE254" s="2">
        <v>49</v>
      </c>
      <c r="AF254" s="2" t="s">
        <v>141</v>
      </c>
      <c r="AG254" s="2"/>
      <c r="AH254" s="2"/>
      <c r="AI254" s="2"/>
      <c r="AJ254" s="2"/>
      <c r="AK254" s="2" t="s">
        <v>217</v>
      </c>
      <c r="AL254" s="2" t="s">
        <v>298</v>
      </c>
      <c r="AM254" s="2" t="s">
        <v>5910</v>
      </c>
      <c r="AN254" s="2" t="s">
        <v>359</v>
      </c>
      <c r="AO254" s="2" t="s">
        <v>5887</v>
      </c>
      <c r="AP254" s="2">
        <v>705348000</v>
      </c>
      <c r="AQ254" s="2">
        <v>705348000</v>
      </c>
      <c r="AR254" s="2" t="s">
        <v>253</v>
      </c>
      <c r="AS254" s="2">
        <v>80814967</v>
      </c>
      <c r="AT254" s="2" t="s">
        <v>5911</v>
      </c>
      <c r="AU254" s="2"/>
      <c r="AV254" s="2"/>
      <c r="AW254" s="2" t="s">
        <v>219</v>
      </c>
      <c r="AX254" s="2">
        <v>86144937</v>
      </c>
      <c r="AY254" s="2" t="s">
        <v>5889</v>
      </c>
      <c r="AZ254" s="2" t="s">
        <v>5912</v>
      </c>
      <c r="BA254" s="2" t="s">
        <v>994</v>
      </c>
      <c r="BB254" s="2">
        <v>0</v>
      </c>
      <c r="BC254" s="3" t="str">
        <f>HYPERLINK("https://patentscout.innography.com/share/69JJrTEvoXHOeZi_BmGV_A%3D%3D","KR20220030887")</f>
        <v>KR20220030887</v>
      </c>
      <c r="BD254" s="2" t="s">
        <v>5913</v>
      </c>
      <c r="BE254" s="2"/>
      <c r="BF254" s="2" t="s">
        <v>5914</v>
      </c>
      <c r="BG254" s="2" t="str">
        <f>HYPERLINK("https://patentscout.innography.com/share/69JJrTEvoXHOeZi_BmGV_A%3D%3D/download", "Download PDF")</f>
        <v>Download PDF</v>
      </c>
      <c r="BH254" s="2" t="s">
        <v>5915</v>
      </c>
      <c r="BI254" s="2"/>
      <c r="BJ254" s="2" t="s">
        <v>5898</v>
      </c>
      <c r="BK254" s="2" t="s">
        <v>5898</v>
      </c>
      <c r="BL254" s="2" t="s">
        <v>5898</v>
      </c>
      <c r="BM254" s="2"/>
      <c r="BN254" s="2"/>
      <c r="BO254" s="2"/>
      <c r="BP254" s="2"/>
      <c r="BQ254" s="2"/>
      <c r="BR254" s="2"/>
      <c r="BS254" s="2"/>
      <c r="BT254" s="2"/>
      <c r="BU254" s="2"/>
      <c r="BV254" s="2"/>
      <c r="BW254" s="2"/>
      <c r="BX254" s="2"/>
      <c r="BY254" s="2"/>
      <c r="BZ254" s="2"/>
      <c r="CA254" s="2"/>
      <c r="CB254" s="2"/>
      <c r="CC254" s="2" t="s">
        <v>228</v>
      </c>
      <c r="CD254" s="2" t="str">
        <f>HYPERLINK("https://patentscout.innography.com/share/69JJrTEvoXHOeZi_BmGV_A%3D%3D", "Innography Link")</f>
        <v>Innography Link</v>
      </c>
      <c r="CE254" s="2"/>
      <c r="CF254" s="2"/>
      <c r="CG254" s="2"/>
      <c r="CH254" s="2"/>
      <c r="CI254" s="2"/>
      <c r="CK254" s="2" t="s">
        <v>5899</v>
      </c>
      <c r="CL254" s="2" t="s">
        <v>5900</v>
      </c>
      <c r="CM254" s="2" t="s">
        <v>5901</v>
      </c>
      <c r="CN254" s="2" t="s">
        <v>5916</v>
      </c>
      <c r="CO254" s="2" t="s">
        <v>5903</v>
      </c>
    </row>
    <row r="255" spans="1:93" ht="152" customHeight="1" x14ac:dyDescent="0.45">
      <c r="A255" s="2">
        <v>0</v>
      </c>
      <c r="B255" s="2">
        <v>0</v>
      </c>
      <c r="C255" s="2"/>
      <c r="D255" s="2"/>
      <c r="E255" s="2" t="s">
        <v>3534</v>
      </c>
      <c r="F255" s="2"/>
      <c r="G255" s="2" t="s">
        <v>3534</v>
      </c>
      <c r="H255" s="2" t="s">
        <v>5917</v>
      </c>
      <c r="I255" s="2" t="s">
        <v>5917</v>
      </c>
      <c r="J255" s="2" t="s">
        <v>5918</v>
      </c>
      <c r="K255" s="2" t="s">
        <v>3534</v>
      </c>
      <c r="L255" s="2" t="s">
        <v>3534</v>
      </c>
      <c r="M255" s="2" t="s">
        <v>5919</v>
      </c>
      <c r="N255" s="2" t="s">
        <v>5920</v>
      </c>
      <c r="O255" s="2"/>
      <c r="P255" s="2" t="s">
        <v>5921</v>
      </c>
      <c r="Q255" s="2" t="s">
        <v>5922</v>
      </c>
      <c r="R255" s="2" t="s">
        <v>5923</v>
      </c>
      <c r="S255" s="2" t="s">
        <v>5921</v>
      </c>
      <c r="T255" s="2">
        <v>74</v>
      </c>
      <c r="U255" s="2">
        <v>7</v>
      </c>
      <c r="V255" s="2" t="s">
        <v>5924</v>
      </c>
      <c r="W255" s="2"/>
      <c r="X255" s="2"/>
      <c r="Y255" s="2"/>
      <c r="Z255" s="2" t="s">
        <v>5925</v>
      </c>
      <c r="AA255" s="2" t="s">
        <v>5926</v>
      </c>
      <c r="AB255" s="2">
        <v>10</v>
      </c>
      <c r="AC255" s="2" t="s">
        <v>214</v>
      </c>
      <c r="AD255" s="2" t="s">
        <v>5927</v>
      </c>
      <c r="AE255" s="2">
        <v>193</v>
      </c>
      <c r="AF255" s="2" t="s">
        <v>141</v>
      </c>
      <c r="AG255" s="2"/>
      <c r="AH255" s="2"/>
      <c r="AI255" s="2"/>
      <c r="AJ255" s="2"/>
      <c r="AK255" s="2" t="s">
        <v>1816</v>
      </c>
      <c r="AL255" s="2" t="s">
        <v>271</v>
      </c>
      <c r="AM255" s="2" t="s">
        <v>5928</v>
      </c>
      <c r="AN255" s="2" t="s">
        <v>1035</v>
      </c>
      <c r="AO255" s="2" t="s">
        <v>5929</v>
      </c>
      <c r="AP255" s="2">
        <v>715701000</v>
      </c>
      <c r="AQ255" s="2">
        <v>715701000</v>
      </c>
      <c r="AR255" s="2" t="s">
        <v>253</v>
      </c>
      <c r="AS255" s="2">
        <v>82813284</v>
      </c>
      <c r="AT255" s="2" t="s">
        <v>5930</v>
      </c>
      <c r="AU255" s="2"/>
      <c r="AV255" s="2"/>
      <c r="AW255" s="2" t="s">
        <v>1821</v>
      </c>
      <c r="AX255" s="2">
        <v>89562132</v>
      </c>
      <c r="AY255" s="2" t="s">
        <v>5931</v>
      </c>
      <c r="AZ255" s="2" t="s">
        <v>5932</v>
      </c>
      <c r="BA255" s="2" t="s">
        <v>5933</v>
      </c>
      <c r="BB255" s="2">
        <v>0</v>
      </c>
      <c r="BC255" s="3" t="str">
        <f>HYPERLINK("https://patentscout.innography.com/share/-87wYTxrMDd6T1i87XTkbg%3D%3D","CN114924650")</f>
        <v>CN114924650</v>
      </c>
      <c r="BD255" s="2" t="s">
        <v>5934</v>
      </c>
      <c r="BE255" s="2" t="s">
        <v>5935</v>
      </c>
      <c r="BF255" s="2" t="s">
        <v>5936</v>
      </c>
      <c r="BG255" s="2" t="str">
        <f>HYPERLINK("https://patentscout.innography.com/share/-87wYTxrMDd6T1i87XTkbg%3D%3D/download", "Download PDF")</f>
        <v>Download PDF</v>
      </c>
      <c r="BH255" s="2" t="s">
        <v>5937</v>
      </c>
      <c r="BI255" s="2"/>
      <c r="BJ255" s="2" t="s">
        <v>5931</v>
      </c>
      <c r="BK255" s="2" t="s">
        <v>5931</v>
      </c>
      <c r="BL255" s="2" t="s">
        <v>5931</v>
      </c>
      <c r="BM255" s="2"/>
      <c r="BN255" s="2"/>
      <c r="BO255" s="2"/>
      <c r="BP255" s="2"/>
      <c r="BQ255" s="2"/>
      <c r="BR255" s="2"/>
      <c r="BS255" s="2"/>
      <c r="BT255" s="2"/>
      <c r="BU255" s="2"/>
      <c r="BV255" s="2"/>
      <c r="BW255" s="2"/>
      <c r="BX255" s="2"/>
      <c r="BY255" s="2"/>
      <c r="BZ255" s="2"/>
      <c r="CA255" s="2"/>
      <c r="CB255" s="2"/>
      <c r="CC255" s="2" t="s">
        <v>1829</v>
      </c>
      <c r="CD255" s="2" t="str">
        <f>HYPERLINK("https://patentscout.innography.com/share/-87wYTxrMDd6T1i87XTkbg%3D%3D", "Innography Link")</f>
        <v>Innography Link</v>
      </c>
      <c r="CE255" s="2"/>
      <c r="CF255" s="2"/>
      <c r="CG255" s="2"/>
      <c r="CH255" s="2"/>
      <c r="CI255" s="2"/>
      <c r="CK255" s="2" t="s">
        <v>5938</v>
      </c>
    </row>
    <row r="256" spans="1:93" ht="30" customHeight="1" x14ac:dyDescent="0.45">
      <c r="A256" s="2">
        <v>1</v>
      </c>
      <c r="B256" s="2">
        <v>0</v>
      </c>
      <c r="C256" s="2"/>
      <c r="D256" s="2" t="s">
        <v>5939</v>
      </c>
      <c r="E256" s="2" t="s">
        <v>4576</v>
      </c>
      <c r="F256" s="2" t="s">
        <v>5940</v>
      </c>
      <c r="G256" s="2" t="s">
        <v>5940</v>
      </c>
      <c r="H256" s="2" t="s">
        <v>5941</v>
      </c>
      <c r="I256" s="2" t="s">
        <v>5941</v>
      </c>
      <c r="J256" s="2" t="s">
        <v>5942</v>
      </c>
      <c r="K256" s="2" t="s">
        <v>4576</v>
      </c>
      <c r="L256" s="2" t="s">
        <v>4576</v>
      </c>
      <c r="M256" s="2" t="s">
        <v>5943</v>
      </c>
      <c r="N256" s="2" t="s">
        <v>5944</v>
      </c>
      <c r="O256" s="2" t="s">
        <v>5945</v>
      </c>
      <c r="P256" s="2"/>
      <c r="Q256" s="2" t="s">
        <v>5946</v>
      </c>
      <c r="R256" s="2" t="s">
        <v>5947</v>
      </c>
      <c r="S256" s="2"/>
      <c r="T256" s="2">
        <v>74</v>
      </c>
      <c r="U256" s="2">
        <v>51</v>
      </c>
      <c r="V256" s="2" t="s">
        <v>5948</v>
      </c>
      <c r="W256" s="2"/>
      <c r="X256" s="2"/>
      <c r="Y256" s="2"/>
      <c r="Z256" s="2" t="s">
        <v>5949</v>
      </c>
      <c r="AA256" s="2" t="s">
        <v>5950</v>
      </c>
      <c r="AB256" s="2">
        <v>16</v>
      </c>
      <c r="AC256" s="2" t="s">
        <v>3878</v>
      </c>
      <c r="AD256" s="2" t="s">
        <v>5951</v>
      </c>
      <c r="AE256" s="2">
        <v>175</v>
      </c>
      <c r="AF256" s="2" t="s">
        <v>141</v>
      </c>
      <c r="AG256" s="2"/>
      <c r="AH256" s="2"/>
      <c r="AI256" s="2" t="s">
        <v>5952</v>
      </c>
      <c r="AJ256" s="2"/>
      <c r="AK256" s="2" t="s">
        <v>1816</v>
      </c>
      <c r="AL256" s="2" t="s">
        <v>5953</v>
      </c>
      <c r="AM256" s="2" t="s">
        <v>5954</v>
      </c>
      <c r="AN256" s="2" t="s">
        <v>5955</v>
      </c>
      <c r="AO256" s="2" t="s">
        <v>5956</v>
      </c>
      <c r="AP256" s="2">
        <v>358003260</v>
      </c>
      <c r="AQ256" s="2">
        <v>358003260</v>
      </c>
      <c r="AR256" s="2" t="s">
        <v>185</v>
      </c>
      <c r="AS256" s="2">
        <v>59874132</v>
      </c>
      <c r="AT256" s="2" t="s">
        <v>5957</v>
      </c>
      <c r="AU256" s="2"/>
      <c r="AV256" s="2"/>
      <c r="AW256" s="2" t="s">
        <v>3879</v>
      </c>
      <c r="AX256" s="2">
        <v>91363689</v>
      </c>
      <c r="AY256" s="2" t="s">
        <v>5958</v>
      </c>
      <c r="AZ256" s="2" t="s">
        <v>5959</v>
      </c>
      <c r="BA256" s="2" t="s">
        <v>5960</v>
      </c>
      <c r="BB256" s="2">
        <v>0</v>
      </c>
      <c r="BC256" s="3" t="str">
        <f>HYPERLINK("https://patentscout.innography.com/share/Zc1Ds2ETc9kaV-bTa1k08Q%3D%3D","CN107194891")</f>
        <v>CN107194891</v>
      </c>
      <c r="BD256" s="2" t="s">
        <v>5961</v>
      </c>
      <c r="BE256" s="2" t="s">
        <v>5962</v>
      </c>
      <c r="BF256" s="2" t="s">
        <v>5963</v>
      </c>
      <c r="BG256" s="2" t="str">
        <f>HYPERLINK("https://patentscout.innography.com/share/Zc1Ds2ETc9kaV-bTa1k08Q%3D%3D/download", "Download PDF")</f>
        <v>Download PDF</v>
      </c>
      <c r="BH256" s="2" t="s">
        <v>5964</v>
      </c>
      <c r="BI256" s="2"/>
      <c r="BJ256" s="2" t="s">
        <v>5952</v>
      </c>
      <c r="BK256" s="2" t="s">
        <v>5952</v>
      </c>
      <c r="BL256" s="2" t="s">
        <v>5952</v>
      </c>
      <c r="BM256" s="2"/>
      <c r="BN256" s="2"/>
      <c r="BO256" s="2"/>
      <c r="BP256" s="2"/>
      <c r="BQ256" s="2"/>
      <c r="BR256" s="2"/>
      <c r="BS256" s="2"/>
      <c r="BT256" s="2"/>
      <c r="BU256" s="2"/>
      <c r="BV256" s="2" t="s">
        <v>5965</v>
      </c>
      <c r="BW256" s="2"/>
      <c r="BX256" s="2"/>
      <c r="BY256" s="2"/>
      <c r="BZ256" s="2"/>
      <c r="CA256" s="2"/>
      <c r="CB256" s="2"/>
      <c r="CC256" s="2" t="s">
        <v>3884</v>
      </c>
      <c r="CD256" s="2" t="str">
        <f>HYPERLINK("https://patentscout.innography.com/share/Zc1Ds2ETc9kaV-bTa1k08Q%3D%3D", "Innography Link")</f>
        <v>Innography Link</v>
      </c>
      <c r="CE256" s="2"/>
      <c r="CF256" s="2"/>
      <c r="CG256" s="2"/>
      <c r="CH256" s="2"/>
      <c r="CI256" s="2"/>
      <c r="CK256" s="2" t="s">
        <v>5966</v>
      </c>
      <c r="CL256" s="2" t="s">
        <v>5967</v>
      </c>
    </row>
    <row r="257" spans="1:94" ht="152" customHeight="1" x14ac:dyDescent="0.45">
      <c r="A257" s="2">
        <v>2</v>
      </c>
      <c r="B257" s="2">
        <v>0</v>
      </c>
      <c r="C257" s="2"/>
      <c r="D257" s="2" t="s">
        <v>5968</v>
      </c>
      <c r="E257" s="2" t="s">
        <v>5969</v>
      </c>
      <c r="F257" s="2" t="s">
        <v>5970</v>
      </c>
      <c r="G257" s="2" t="s">
        <v>5970</v>
      </c>
      <c r="H257" s="2" t="s">
        <v>5971</v>
      </c>
      <c r="I257" s="2" t="s">
        <v>5971</v>
      </c>
      <c r="J257" s="2" t="s">
        <v>5972</v>
      </c>
      <c r="K257" s="2" t="s">
        <v>5969</v>
      </c>
      <c r="L257" s="2" t="s">
        <v>5969</v>
      </c>
      <c r="M257" s="2" t="s">
        <v>5973</v>
      </c>
      <c r="N257" s="2" t="s">
        <v>5802</v>
      </c>
      <c r="O257" s="2"/>
      <c r="P257" s="2"/>
      <c r="Q257" s="2" t="s">
        <v>5804</v>
      </c>
      <c r="R257" s="2" t="s">
        <v>5804</v>
      </c>
      <c r="S257" s="2"/>
      <c r="T257" s="2">
        <v>74</v>
      </c>
      <c r="U257" s="2">
        <v>63</v>
      </c>
      <c r="V257" s="2" t="s">
        <v>5974</v>
      </c>
      <c r="W257" s="2"/>
      <c r="X257" s="2"/>
      <c r="Y257" s="2"/>
      <c r="Z257" s="2" t="s">
        <v>5975</v>
      </c>
      <c r="AA257" s="2" t="s">
        <v>5976</v>
      </c>
      <c r="AB257" s="2">
        <v>10</v>
      </c>
      <c r="AC257" s="2" t="s">
        <v>3878</v>
      </c>
      <c r="AD257" s="2" t="s">
        <v>5977</v>
      </c>
      <c r="AE257" s="2">
        <v>241</v>
      </c>
      <c r="AF257" s="2" t="s">
        <v>141</v>
      </c>
      <c r="AG257" s="2"/>
      <c r="AH257" s="2"/>
      <c r="AI257" s="2" t="s">
        <v>5978</v>
      </c>
      <c r="AJ257" s="2"/>
      <c r="AK257" s="2" t="s">
        <v>1816</v>
      </c>
      <c r="AL257" s="2" t="s">
        <v>5750</v>
      </c>
      <c r="AM257" s="2" t="s">
        <v>5979</v>
      </c>
      <c r="AN257" s="2" t="s">
        <v>5752</v>
      </c>
      <c r="AO257" s="2" t="s">
        <v>5980</v>
      </c>
      <c r="AP257" s="2">
        <v>264001230</v>
      </c>
      <c r="AQ257" s="2">
        <v>264001230</v>
      </c>
      <c r="AR257" s="2" t="s">
        <v>514</v>
      </c>
      <c r="AS257" s="2">
        <v>64463091</v>
      </c>
      <c r="AT257" s="2" t="s">
        <v>5981</v>
      </c>
      <c r="AU257" s="2"/>
      <c r="AV257" s="2"/>
      <c r="AW257" s="2" t="s">
        <v>3879</v>
      </c>
      <c r="AX257" s="2">
        <v>67968046</v>
      </c>
      <c r="AY257" s="2" t="s">
        <v>5982</v>
      </c>
      <c r="AZ257" s="2" t="s">
        <v>5983</v>
      </c>
      <c r="BA257" s="2" t="s">
        <v>5984</v>
      </c>
      <c r="BB257" s="2">
        <v>0</v>
      </c>
      <c r="BC257" s="3" t="str">
        <f>HYPERLINK("https://patentscout.innography.com/share/7iUZS9cEgtbhEaglstM1Kg%3D%3D","CN108957743")</f>
        <v>CN108957743</v>
      </c>
      <c r="BD257" s="2" t="s">
        <v>5985</v>
      </c>
      <c r="BE257" s="2" t="s">
        <v>5986</v>
      </c>
      <c r="BF257" s="2" t="s">
        <v>5987</v>
      </c>
      <c r="BG257" s="2" t="str">
        <f>HYPERLINK("https://patentscout.innography.com/share/7iUZS9cEgtbhEaglstM1Kg%3D%3D/download", "Download PDF")</f>
        <v>Download PDF</v>
      </c>
      <c r="BH257" s="2" t="s">
        <v>5988</v>
      </c>
      <c r="BI257" s="2"/>
      <c r="BJ257" s="2" t="s">
        <v>5978</v>
      </c>
      <c r="BK257" s="2" t="s">
        <v>5978</v>
      </c>
      <c r="BL257" s="2" t="s">
        <v>5978</v>
      </c>
      <c r="BM257" s="2"/>
      <c r="BN257" s="2"/>
      <c r="BO257" s="2"/>
      <c r="BP257" s="2"/>
      <c r="BQ257" s="2"/>
      <c r="BR257" s="2"/>
      <c r="BS257" s="2"/>
      <c r="BT257" s="2"/>
      <c r="BU257" s="2"/>
      <c r="BV257" s="2" t="s">
        <v>5989</v>
      </c>
      <c r="BW257" s="2"/>
      <c r="BX257" s="2"/>
      <c r="BY257" s="2"/>
      <c r="BZ257" s="2"/>
      <c r="CA257" s="2"/>
      <c r="CB257" s="2"/>
      <c r="CC257" s="2" t="s">
        <v>3884</v>
      </c>
      <c r="CD257" s="2" t="str">
        <f>HYPERLINK("https://patentscout.innography.com/share/7iUZS9cEgtbhEaglstM1Kg%3D%3D", "Innography Link")</f>
        <v>Innography Link</v>
      </c>
      <c r="CE257" s="2"/>
      <c r="CF257" s="2"/>
      <c r="CG257" s="2"/>
      <c r="CH257" s="2"/>
      <c r="CI257" s="2"/>
      <c r="CK257" s="2" t="s">
        <v>5990</v>
      </c>
    </row>
    <row r="258" spans="1:94" ht="152" customHeight="1" x14ac:dyDescent="0.45">
      <c r="A258" s="2">
        <v>1</v>
      </c>
      <c r="B258" s="2">
        <v>571</v>
      </c>
      <c r="C258" s="2" t="s">
        <v>5991</v>
      </c>
      <c r="D258" s="2" t="s">
        <v>5992</v>
      </c>
      <c r="E258" s="2" t="s">
        <v>1537</v>
      </c>
      <c r="F258" s="2" t="s">
        <v>1538</v>
      </c>
      <c r="G258" s="2" t="s">
        <v>1538</v>
      </c>
      <c r="H258" s="2" t="s">
        <v>1390</v>
      </c>
      <c r="I258" s="2" t="s">
        <v>1539</v>
      </c>
      <c r="J258" s="2" t="s">
        <v>5993</v>
      </c>
      <c r="K258" s="2" t="s">
        <v>1388</v>
      </c>
      <c r="L258" s="2" t="s">
        <v>1388</v>
      </c>
      <c r="M258" s="2" t="s">
        <v>1461</v>
      </c>
      <c r="N258" s="2" t="s">
        <v>5994</v>
      </c>
      <c r="O258" s="2"/>
      <c r="P258" s="2" t="s">
        <v>1395</v>
      </c>
      <c r="Q258" s="2" t="s">
        <v>1396</v>
      </c>
      <c r="R258" s="2" t="s">
        <v>1397</v>
      </c>
      <c r="S258" s="2" t="s">
        <v>1395</v>
      </c>
      <c r="T258" s="2">
        <v>74</v>
      </c>
      <c r="U258" s="2">
        <v>85</v>
      </c>
      <c r="V258" s="2" t="s">
        <v>1540</v>
      </c>
      <c r="W258" s="2" t="s">
        <v>1399</v>
      </c>
      <c r="X258" s="2">
        <v>2443</v>
      </c>
      <c r="Y258" s="2" t="s">
        <v>1464</v>
      </c>
      <c r="Z258" s="2" t="s">
        <v>5995</v>
      </c>
      <c r="AA258" s="2" t="s">
        <v>5996</v>
      </c>
      <c r="AB258" s="2">
        <v>20</v>
      </c>
      <c r="AC258" s="2" t="s">
        <v>250</v>
      </c>
      <c r="AD258" s="2" t="s">
        <v>1402</v>
      </c>
      <c r="AE258" s="2">
        <v>182</v>
      </c>
      <c r="AF258" s="2" t="s">
        <v>141</v>
      </c>
      <c r="AG258" s="2"/>
      <c r="AH258" s="2"/>
      <c r="AI258" s="2" t="s">
        <v>1552</v>
      </c>
      <c r="AJ258" s="2"/>
      <c r="AK258" s="2" t="s">
        <v>142</v>
      </c>
      <c r="AL258" s="2" t="s">
        <v>691</v>
      </c>
      <c r="AM258" s="2" t="s">
        <v>1404</v>
      </c>
      <c r="AN258" s="2" t="s">
        <v>1544</v>
      </c>
      <c r="AO258" s="2" t="s">
        <v>1545</v>
      </c>
      <c r="AP258" s="2">
        <v>273297000</v>
      </c>
      <c r="AQ258" s="2">
        <v>273297000</v>
      </c>
      <c r="AR258" s="2" t="s">
        <v>3645</v>
      </c>
      <c r="AS258" s="2">
        <v>41054724</v>
      </c>
      <c r="AT258" s="2" t="s">
        <v>1407</v>
      </c>
      <c r="AU258" s="2"/>
      <c r="AV258" s="2"/>
      <c r="AW258" s="2" t="s">
        <v>1409</v>
      </c>
      <c r="AX258" s="2">
        <v>90000606</v>
      </c>
      <c r="AY258" s="2" t="s">
        <v>1410</v>
      </c>
      <c r="AZ258" s="2" t="s">
        <v>1546</v>
      </c>
      <c r="BA258" s="2" t="s">
        <v>5997</v>
      </c>
      <c r="BB258" s="2">
        <v>0</v>
      </c>
      <c r="BC258" s="3" t="str">
        <f>HYPERLINK("https://patentscout.innography.com/share/SQKCgPZr4SJY4vReviXl4g%3D%3D","US10981069")</f>
        <v>US10981069</v>
      </c>
      <c r="BD258" s="2" t="s">
        <v>5998</v>
      </c>
      <c r="BE258" s="2" t="s">
        <v>1549</v>
      </c>
      <c r="BF258" s="2" t="s">
        <v>5999</v>
      </c>
      <c r="BG258" s="2" t="str">
        <f>HYPERLINK("https://patentscout.innography.com/share/SQKCgPZr4SJY4vReviXl4g%3D%3D/download", "Download PDF")</f>
        <v>Download PDF</v>
      </c>
      <c r="BH258" s="2" t="s">
        <v>6000</v>
      </c>
      <c r="BI258" s="2"/>
      <c r="BJ258" s="2" t="s">
        <v>1552</v>
      </c>
      <c r="BK258" s="2" t="s">
        <v>1416</v>
      </c>
      <c r="BL258" s="2" t="s">
        <v>1416</v>
      </c>
      <c r="BM258" s="2"/>
      <c r="BN258" s="2"/>
      <c r="BO258" s="2" t="s">
        <v>1553</v>
      </c>
      <c r="BP258" s="2"/>
      <c r="BQ258" s="2"/>
      <c r="BR258" s="2" t="s">
        <v>1554</v>
      </c>
      <c r="BS258" s="2" t="s">
        <v>1555</v>
      </c>
      <c r="BT258" s="2" t="s">
        <v>1556</v>
      </c>
      <c r="BU258" s="2"/>
      <c r="BV258" s="2"/>
      <c r="BW258" s="2" t="s">
        <v>204</v>
      </c>
      <c r="BX258" s="2"/>
      <c r="BY258" s="2"/>
      <c r="BZ258" s="2"/>
      <c r="CA258" s="2"/>
      <c r="CB258" s="2"/>
      <c r="CC258" s="2" t="s">
        <v>259</v>
      </c>
      <c r="CD258" s="2" t="str">
        <f>HYPERLINK("https://patentscout.innography.com/share/SQKCgPZr4SJY4vReviXl4g%3D%3D", "Innography Link")</f>
        <v>Innography Link</v>
      </c>
      <c r="CE258" s="2"/>
      <c r="CF258" s="2"/>
      <c r="CG258" s="2"/>
      <c r="CH258" s="2"/>
      <c r="CI258" s="2"/>
      <c r="CK258" s="2" t="s">
        <v>6001</v>
      </c>
      <c r="CL258" s="2" t="s">
        <v>6002</v>
      </c>
      <c r="CM258" s="2" t="s">
        <v>6003</v>
      </c>
    </row>
    <row r="259" spans="1:94" ht="152" customHeight="1" x14ac:dyDescent="0.45">
      <c r="A259" s="2">
        <v>1</v>
      </c>
      <c r="B259" s="2">
        <v>0</v>
      </c>
      <c r="C259" s="2"/>
      <c r="D259" s="2" t="s">
        <v>6004</v>
      </c>
      <c r="E259" s="2" t="s">
        <v>6005</v>
      </c>
      <c r="F259" s="2"/>
      <c r="G259" s="2" t="s">
        <v>6005</v>
      </c>
      <c r="H259" s="2" t="s">
        <v>6006</v>
      </c>
      <c r="I259" s="2" t="s">
        <v>6007</v>
      </c>
      <c r="J259" s="2" t="s">
        <v>6008</v>
      </c>
      <c r="K259" s="2" t="s">
        <v>6005</v>
      </c>
      <c r="L259" s="2" t="s">
        <v>6005</v>
      </c>
      <c r="M259" s="2" t="s">
        <v>6009</v>
      </c>
      <c r="N259" s="2" t="s">
        <v>6010</v>
      </c>
      <c r="O259" s="2"/>
      <c r="P259" s="2" t="s">
        <v>6011</v>
      </c>
      <c r="Q259" s="2"/>
      <c r="R259" s="2"/>
      <c r="S259" s="2" t="s">
        <v>6011</v>
      </c>
      <c r="T259" s="2">
        <v>74</v>
      </c>
      <c r="U259" s="2">
        <v>78</v>
      </c>
      <c r="V259" s="2" t="s">
        <v>6012</v>
      </c>
      <c r="W259" s="2" t="s">
        <v>533</v>
      </c>
      <c r="X259" s="2"/>
      <c r="Y259" s="2"/>
      <c r="Z259" s="2" t="s">
        <v>6013</v>
      </c>
      <c r="AA259" s="2" t="s">
        <v>6014</v>
      </c>
      <c r="AB259" s="2">
        <v>25</v>
      </c>
      <c r="AC259" s="2" t="s">
        <v>139</v>
      </c>
      <c r="AD259" s="2" t="s">
        <v>6015</v>
      </c>
      <c r="AE259" s="2">
        <v>130</v>
      </c>
      <c r="AF259" s="2" t="s">
        <v>141</v>
      </c>
      <c r="AG259" s="2"/>
      <c r="AH259" s="2"/>
      <c r="AI259" s="2"/>
      <c r="AJ259" s="2"/>
      <c r="AK259" s="2" t="s">
        <v>142</v>
      </c>
      <c r="AL259" s="2" t="s">
        <v>6016</v>
      </c>
      <c r="AM259" s="2" t="s">
        <v>6017</v>
      </c>
      <c r="AN259" s="2" t="s">
        <v>6018</v>
      </c>
      <c r="AO259" s="2" t="s">
        <v>6018</v>
      </c>
      <c r="AP259" s="2">
        <v>340005740</v>
      </c>
      <c r="AQ259" s="2">
        <v>340005740</v>
      </c>
      <c r="AR259" s="2" t="s">
        <v>1406</v>
      </c>
      <c r="AS259" s="2">
        <v>81077795</v>
      </c>
      <c r="AT259" s="2" t="s">
        <v>6019</v>
      </c>
      <c r="AU259" s="2"/>
      <c r="AV259" s="2"/>
      <c r="AW259" s="2" t="s">
        <v>148</v>
      </c>
      <c r="AX259" s="2">
        <v>87079504</v>
      </c>
      <c r="AY259" s="2" t="s">
        <v>6020</v>
      </c>
      <c r="AZ259" s="2" t="s">
        <v>6021</v>
      </c>
      <c r="BA259" s="2" t="s">
        <v>6022</v>
      </c>
      <c r="BB259" s="2">
        <v>0</v>
      </c>
      <c r="BC259" s="3" t="str">
        <f>HYPERLINK("https://patentscout.innography.com/share/dApv7vrupFIFAwhUaO9fHw%3D%3D","US20220116231")</f>
        <v>US20220116231</v>
      </c>
      <c r="BD259" s="2" t="s">
        <v>6023</v>
      </c>
      <c r="BE259" s="2" t="s">
        <v>6024</v>
      </c>
      <c r="BF259" s="2" t="s">
        <v>6025</v>
      </c>
      <c r="BG259" s="2" t="str">
        <f>HYPERLINK("https://patentscout.innography.com/share/dApv7vrupFIFAwhUaO9fHw%3D%3D/download", "Download PDF")</f>
        <v>Download PDF</v>
      </c>
      <c r="BH259" s="2" t="s">
        <v>6026</v>
      </c>
      <c r="BI259" s="2"/>
      <c r="BJ259" s="2" t="s">
        <v>6027</v>
      </c>
      <c r="BK259" s="2" t="s">
        <v>6028</v>
      </c>
      <c r="BL259" s="2" t="s">
        <v>6028</v>
      </c>
      <c r="BM259" s="2"/>
      <c r="BN259" s="2"/>
      <c r="BO259" s="2"/>
      <c r="BP259" s="2"/>
      <c r="BQ259" s="2"/>
      <c r="BR259" s="2"/>
      <c r="BS259" s="2"/>
      <c r="BT259" s="2"/>
      <c r="BU259" s="2"/>
      <c r="BV259" s="2"/>
      <c r="BW259" s="2"/>
      <c r="BX259" s="2"/>
      <c r="BY259" s="2"/>
      <c r="BZ259" s="2"/>
      <c r="CA259" s="2"/>
      <c r="CB259" s="2"/>
      <c r="CC259" s="2" t="s">
        <v>158</v>
      </c>
      <c r="CD259" s="2" t="str">
        <f>HYPERLINK("https://patentscout.innography.com/share/dApv7vrupFIFAwhUaO9fHw%3D%3D", "Innography Link")</f>
        <v>Innography Link</v>
      </c>
      <c r="CE259" s="2"/>
      <c r="CF259" s="2"/>
      <c r="CG259" s="2"/>
      <c r="CH259" s="2"/>
      <c r="CI259" s="2"/>
      <c r="CK259" s="2" t="s">
        <v>6029</v>
      </c>
      <c r="CL259" s="2" t="s">
        <v>6030</v>
      </c>
      <c r="CM259" s="2" t="s">
        <v>6031</v>
      </c>
    </row>
    <row r="260" spans="1:94" ht="152" customHeight="1" x14ac:dyDescent="0.45">
      <c r="A260" s="2">
        <v>0</v>
      </c>
      <c r="B260" s="2">
        <v>6</v>
      </c>
      <c r="C260" s="2" t="s">
        <v>6032</v>
      </c>
      <c r="D260" s="2"/>
      <c r="E260" s="2" t="s">
        <v>6005</v>
      </c>
      <c r="F260" s="2"/>
      <c r="G260" s="2" t="s">
        <v>6005</v>
      </c>
      <c r="H260" s="2" t="s">
        <v>6006</v>
      </c>
      <c r="I260" s="2" t="s">
        <v>6007</v>
      </c>
      <c r="J260" s="2" t="s">
        <v>6033</v>
      </c>
      <c r="K260" s="2" t="s">
        <v>6005</v>
      </c>
      <c r="L260" s="2" t="s">
        <v>6005</v>
      </c>
      <c r="M260" s="2" t="s">
        <v>6034</v>
      </c>
      <c r="N260" s="2" t="s">
        <v>6010</v>
      </c>
      <c r="O260" s="2"/>
      <c r="P260" s="2" t="s">
        <v>6015</v>
      </c>
      <c r="Q260" s="2"/>
      <c r="R260" s="2"/>
      <c r="S260" s="2" t="s">
        <v>6015</v>
      </c>
      <c r="T260" s="2">
        <v>74</v>
      </c>
      <c r="U260" s="2">
        <v>19</v>
      </c>
      <c r="V260" s="2" t="s">
        <v>6035</v>
      </c>
      <c r="W260" s="2"/>
      <c r="X260" s="2"/>
      <c r="Y260" s="2"/>
      <c r="Z260" s="2" t="s">
        <v>6036</v>
      </c>
      <c r="AA260" s="2" t="s">
        <v>6037</v>
      </c>
      <c r="AB260" s="2">
        <v>25</v>
      </c>
      <c r="AC260" s="2" t="s">
        <v>139</v>
      </c>
      <c r="AD260" s="2" t="s">
        <v>6015</v>
      </c>
      <c r="AE260" s="2">
        <v>131</v>
      </c>
      <c r="AF260" s="2" t="s">
        <v>141</v>
      </c>
      <c r="AG260" s="2" t="s">
        <v>4830</v>
      </c>
      <c r="AH260" s="2"/>
      <c r="AI260" s="2"/>
      <c r="AJ260" s="2"/>
      <c r="AK260" s="2" t="s">
        <v>619</v>
      </c>
      <c r="AL260" s="2" t="s">
        <v>6016</v>
      </c>
      <c r="AM260" s="2" t="s">
        <v>6017</v>
      </c>
      <c r="AN260" s="2" t="s">
        <v>6018</v>
      </c>
      <c r="AO260" s="2" t="s">
        <v>6038</v>
      </c>
      <c r="AP260" s="2">
        <v>340005740</v>
      </c>
      <c r="AQ260" s="2">
        <v>340005740</v>
      </c>
      <c r="AR260" s="2" t="s">
        <v>541</v>
      </c>
      <c r="AS260" s="2">
        <v>81077795</v>
      </c>
      <c r="AT260" s="2" t="s">
        <v>6019</v>
      </c>
      <c r="AU260" s="2"/>
      <c r="AV260" s="2"/>
      <c r="AW260" s="2" t="s">
        <v>624</v>
      </c>
      <c r="AX260" s="2">
        <v>87079504</v>
      </c>
      <c r="AY260" s="2" t="s">
        <v>6020</v>
      </c>
      <c r="AZ260" s="2" t="s">
        <v>6039</v>
      </c>
      <c r="BA260" s="2" t="s">
        <v>6040</v>
      </c>
      <c r="BB260" s="2">
        <v>0</v>
      </c>
      <c r="BC260" s="3" t="str">
        <f>HYPERLINK("https://patentscout.innography.com/share/bRir-BeY3ILveqv2GCt0Jg%3D%3D","WO2022074450")</f>
        <v>WO2022074450</v>
      </c>
      <c r="BD260" s="2" t="s">
        <v>6041</v>
      </c>
      <c r="BE260" s="2" t="s">
        <v>6042</v>
      </c>
      <c r="BF260" s="2" t="s">
        <v>6043</v>
      </c>
      <c r="BG260" s="2" t="str">
        <f>HYPERLINK("https://patentscout.innography.com/share/bRir-BeY3ILveqv2GCt0Jg%3D%3D/download", "Download PDF")</f>
        <v>Download PDF</v>
      </c>
      <c r="BH260" s="2" t="s">
        <v>6044</v>
      </c>
      <c r="BI260" s="2"/>
      <c r="BJ260" s="2" t="s">
        <v>6045</v>
      </c>
      <c r="BK260" s="2" t="s">
        <v>6028</v>
      </c>
      <c r="BL260" s="2" t="s">
        <v>6028</v>
      </c>
      <c r="BM260" s="2"/>
      <c r="BN260" s="2"/>
      <c r="BO260" s="2"/>
      <c r="BP260" s="2"/>
      <c r="BQ260" s="2"/>
      <c r="BR260" s="2"/>
      <c r="BS260" s="2"/>
      <c r="BT260" s="2"/>
      <c r="BU260" s="2"/>
      <c r="BV260" s="2"/>
      <c r="BW260" s="2"/>
      <c r="BX260" s="2"/>
      <c r="BY260" s="2"/>
      <c r="BZ260" s="2"/>
      <c r="CA260" s="2"/>
      <c r="CB260" s="2"/>
      <c r="CC260" s="2" t="s">
        <v>635</v>
      </c>
      <c r="CD260" s="2" t="str">
        <f>HYPERLINK("https://patentscout.innography.com/share/bRir-BeY3ILveqv2GCt0Jg%3D%3D", "Innography Link")</f>
        <v>Innography Link</v>
      </c>
      <c r="CE260" s="2"/>
      <c r="CF260" s="2"/>
      <c r="CG260" s="2"/>
      <c r="CH260" s="2"/>
      <c r="CI260" s="2"/>
      <c r="CK260" s="2" t="s">
        <v>5841</v>
      </c>
      <c r="CL260" s="2" t="s">
        <v>6046</v>
      </c>
      <c r="CM260" s="2" t="s">
        <v>6047</v>
      </c>
      <c r="CN260" s="2" t="s">
        <v>6048</v>
      </c>
    </row>
    <row r="261" spans="1:94" ht="30" customHeight="1" x14ac:dyDescent="0.45">
      <c r="A261" s="2">
        <v>0</v>
      </c>
      <c r="B261" s="2">
        <v>0</v>
      </c>
      <c r="C261" s="2"/>
      <c r="D261" s="2"/>
      <c r="E261" s="2" t="s">
        <v>2697</v>
      </c>
      <c r="F261" s="2"/>
      <c r="G261" s="2" t="s">
        <v>2697</v>
      </c>
      <c r="H261" s="2" t="s">
        <v>2966</v>
      </c>
      <c r="I261" s="2" t="s">
        <v>2966</v>
      </c>
      <c r="J261" s="2" t="s">
        <v>2967</v>
      </c>
      <c r="K261" s="2" t="s">
        <v>2697</v>
      </c>
      <c r="L261" s="2" t="s">
        <v>2697</v>
      </c>
      <c r="M261" s="2" t="s">
        <v>6049</v>
      </c>
      <c r="N261" s="2" t="s">
        <v>6050</v>
      </c>
      <c r="O261" s="2"/>
      <c r="P261" s="2" t="s">
        <v>6051</v>
      </c>
      <c r="Q261" s="2" t="s">
        <v>6052</v>
      </c>
      <c r="R261" s="2" t="s">
        <v>6052</v>
      </c>
      <c r="S261" s="2" t="s">
        <v>6051</v>
      </c>
      <c r="T261" s="2">
        <v>74</v>
      </c>
      <c r="U261" s="2">
        <v>7</v>
      </c>
      <c r="V261" s="2" t="s">
        <v>6053</v>
      </c>
      <c r="W261" s="2"/>
      <c r="X261" s="2"/>
      <c r="Y261" s="2"/>
      <c r="Z261" s="2" t="s">
        <v>6054</v>
      </c>
      <c r="AA261" s="2" t="s">
        <v>6055</v>
      </c>
      <c r="AB261" s="2">
        <v>0</v>
      </c>
      <c r="AC261" s="2" t="s">
        <v>6056</v>
      </c>
      <c r="AD261" s="2" t="s">
        <v>6057</v>
      </c>
      <c r="AE261" s="2">
        <v>2295</v>
      </c>
      <c r="AF261" s="2" t="s">
        <v>141</v>
      </c>
      <c r="AG261" s="2"/>
      <c r="AH261" s="2"/>
      <c r="AI261" s="2"/>
      <c r="AJ261" s="2"/>
      <c r="AK261" s="2" t="s">
        <v>6058</v>
      </c>
      <c r="AL261" s="2" t="s">
        <v>1034</v>
      </c>
      <c r="AM261" s="2" t="s">
        <v>1034</v>
      </c>
      <c r="AN261" s="2" t="s">
        <v>1035</v>
      </c>
      <c r="AO261" s="2" t="s">
        <v>6059</v>
      </c>
      <c r="AP261" s="2">
        <v>715701000</v>
      </c>
      <c r="AQ261" s="2">
        <v>715701000</v>
      </c>
      <c r="AR261" s="2" t="s">
        <v>253</v>
      </c>
      <c r="AS261" s="2">
        <v>83004417</v>
      </c>
      <c r="AT261" s="2" t="s">
        <v>6060</v>
      </c>
      <c r="AU261" s="2"/>
      <c r="AV261" s="2"/>
      <c r="AW261" s="2" t="s">
        <v>6061</v>
      </c>
      <c r="AX261" s="2">
        <v>89703684</v>
      </c>
      <c r="AY261" s="2" t="s">
        <v>6062</v>
      </c>
      <c r="AZ261" s="2" t="s">
        <v>6063</v>
      </c>
      <c r="BA261" s="2" t="s">
        <v>2982</v>
      </c>
      <c r="BB261" s="2">
        <v>0</v>
      </c>
      <c r="BC261" s="3" t="str">
        <f>HYPERLINK("https://patentscout.innography.com/share/Z-g02cwvffu1pU-Z1NgX_Q%3D%3D","RO135950")</f>
        <v>RO135950</v>
      </c>
      <c r="BD261" s="2" t="s">
        <v>6064</v>
      </c>
      <c r="BE261" s="2"/>
      <c r="BF261" s="2" t="s">
        <v>6065</v>
      </c>
      <c r="BG261" s="2" t="str">
        <f>HYPERLINK("https://patentscout.innography.com/share/Z-g02cwvffu1pU-Z1NgX_Q%3D%3D/download", "Download PDF")</f>
        <v>Download PDF</v>
      </c>
      <c r="BH261" s="2" t="s">
        <v>6066</v>
      </c>
      <c r="BI261" s="2"/>
      <c r="BJ261" s="2" t="s">
        <v>6067</v>
      </c>
      <c r="BK261" s="2" t="s">
        <v>6067</v>
      </c>
      <c r="BL261" s="2" t="s">
        <v>6067</v>
      </c>
      <c r="BM261" s="2"/>
      <c r="BN261" s="2"/>
      <c r="BO261" s="2"/>
      <c r="BP261" s="2"/>
      <c r="BQ261" s="2"/>
      <c r="BR261" s="2"/>
      <c r="BS261" s="2"/>
      <c r="BT261" s="2"/>
      <c r="BU261" s="2"/>
      <c r="BV261" s="2"/>
      <c r="BW261" s="2"/>
      <c r="BX261" s="2"/>
      <c r="BY261" s="2"/>
      <c r="BZ261" s="2"/>
      <c r="CA261" s="2"/>
      <c r="CB261" s="2"/>
      <c r="CC261" s="2" t="s">
        <v>6068</v>
      </c>
      <c r="CD261" s="2" t="str">
        <f>HYPERLINK("https://patentscout.innography.com/share/Z-g02cwvffu1pU-Z1NgX_Q%3D%3D", "Innography Link")</f>
        <v>Innography Link</v>
      </c>
      <c r="CE261" s="2"/>
      <c r="CF261" s="2"/>
      <c r="CG261" s="2"/>
      <c r="CH261" s="2"/>
      <c r="CI261" s="2"/>
      <c r="CK261" s="2" t="s">
        <v>6069</v>
      </c>
    </row>
    <row r="262" spans="1:94" ht="152" customHeight="1" x14ac:dyDescent="0.45">
      <c r="A262" s="2">
        <v>0</v>
      </c>
      <c r="B262" s="2">
        <v>8</v>
      </c>
      <c r="C262" s="2" t="s">
        <v>1767</v>
      </c>
      <c r="D262" s="2"/>
      <c r="E262" s="2"/>
      <c r="F262" s="2" t="s">
        <v>2163</v>
      </c>
      <c r="G262" s="2" t="s">
        <v>2163</v>
      </c>
      <c r="H262" s="2" t="s">
        <v>1643</v>
      </c>
      <c r="I262" s="2" t="s">
        <v>1643</v>
      </c>
      <c r="J262" s="2" t="s">
        <v>1644</v>
      </c>
      <c r="K262" s="2" t="s">
        <v>2163</v>
      </c>
      <c r="L262" s="2" t="s">
        <v>2163</v>
      </c>
      <c r="M262" s="2" t="s">
        <v>6070</v>
      </c>
      <c r="N262" s="2" t="s">
        <v>6071</v>
      </c>
      <c r="O262" s="2" t="s">
        <v>6072</v>
      </c>
      <c r="P262" s="2" t="s">
        <v>1647</v>
      </c>
      <c r="Q262" s="2" t="s">
        <v>1648</v>
      </c>
      <c r="R262" s="2" t="s">
        <v>1648</v>
      </c>
      <c r="S262" s="2" t="s">
        <v>1647</v>
      </c>
      <c r="T262" s="2">
        <v>74</v>
      </c>
      <c r="U262" s="2">
        <v>8</v>
      </c>
      <c r="V262" s="2" t="s">
        <v>6073</v>
      </c>
      <c r="W262" s="2"/>
      <c r="X262" s="2"/>
      <c r="Y262" s="2"/>
      <c r="Z262" s="2" t="s">
        <v>6074</v>
      </c>
      <c r="AA262" s="2" t="s">
        <v>6075</v>
      </c>
      <c r="AB262" s="2">
        <v>12</v>
      </c>
      <c r="AC262" s="2" t="s">
        <v>235</v>
      </c>
      <c r="AD262" s="2" t="s">
        <v>1652</v>
      </c>
      <c r="AE262" s="2">
        <v>950</v>
      </c>
      <c r="AF262" s="2" t="s">
        <v>141</v>
      </c>
      <c r="AG262" s="2"/>
      <c r="AH262" s="2"/>
      <c r="AI262" s="2"/>
      <c r="AJ262" s="2"/>
      <c r="AK262" s="2" t="s">
        <v>217</v>
      </c>
      <c r="AL262" s="2" t="s">
        <v>1611</v>
      </c>
      <c r="AM262" s="2" t="s">
        <v>1611</v>
      </c>
      <c r="AN262" s="2" t="s">
        <v>1612</v>
      </c>
      <c r="AO262" s="2" t="s">
        <v>6076</v>
      </c>
      <c r="AP262" s="2">
        <v>340005530</v>
      </c>
      <c r="AQ262" s="2">
        <v>340005530</v>
      </c>
      <c r="AR262" s="2" t="s">
        <v>253</v>
      </c>
      <c r="AS262" s="2">
        <v>83460914</v>
      </c>
      <c r="AT262" s="2" t="s">
        <v>6077</v>
      </c>
      <c r="AU262" s="2"/>
      <c r="AV262" s="2"/>
      <c r="AW262" s="2" t="s">
        <v>336</v>
      </c>
      <c r="AX262" s="2">
        <v>91462404</v>
      </c>
      <c r="AY262" s="2" t="s">
        <v>6078</v>
      </c>
      <c r="AZ262" s="2" t="s">
        <v>6079</v>
      </c>
      <c r="BA262" s="2" t="s">
        <v>1657</v>
      </c>
      <c r="BB262" s="2">
        <v>0</v>
      </c>
      <c r="BC262" s="3" t="str">
        <f>HYPERLINK("https://patentscout.innography.com/share/pUu1W9E0Fulazxcn_2DAZQ%3D%3D","KR102445134")</f>
        <v>KR102445134</v>
      </c>
      <c r="BD262" s="2" t="s">
        <v>6080</v>
      </c>
      <c r="BE262" s="2"/>
      <c r="BF262" s="2" t="s">
        <v>6081</v>
      </c>
      <c r="BG262" s="2" t="str">
        <f>HYPERLINK("https://patentscout.innography.com/share/pUu1W9E0Fulazxcn_2DAZQ%3D%3D/download", "Download PDF")</f>
        <v>Download PDF</v>
      </c>
      <c r="BH262" s="2" t="s">
        <v>6082</v>
      </c>
      <c r="BI262" s="2"/>
      <c r="BJ262" s="2" t="s">
        <v>6083</v>
      </c>
      <c r="BK262" s="2" t="s">
        <v>6083</v>
      </c>
      <c r="BL262" s="2" t="s">
        <v>6083</v>
      </c>
      <c r="BM262" s="2"/>
      <c r="BN262" s="2"/>
      <c r="BO262" s="2"/>
      <c r="BP262" s="2"/>
      <c r="BQ262" s="2"/>
      <c r="BR262" s="2"/>
      <c r="BS262" s="2"/>
      <c r="BT262" s="2"/>
      <c r="BU262" s="2"/>
      <c r="BV262" s="2"/>
      <c r="BW262" s="2"/>
      <c r="BX262" s="2"/>
      <c r="BY262" s="2"/>
      <c r="BZ262" s="2"/>
      <c r="CA262" s="2"/>
      <c r="CB262" s="2"/>
      <c r="CC262" s="2" t="s">
        <v>243</v>
      </c>
      <c r="CD262" s="2" t="str">
        <f>HYPERLINK("https://patentscout.innography.com/share/pUu1W9E0Fulazxcn_2DAZQ%3D%3D", "Innography Link")</f>
        <v>Innography Link</v>
      </c>
      <c r="CE262" s="2"/>
      <c r="CF262" s="2"/>
      <c r="CG262" s="2"/>
      <c r="CH262" s="2"/>
      <c r="CI262" s="2"/>
      <c r="CK262" s="2" t="s">
        <v>6084</v>
      </c>
      <c r="CL262" s="2" t="s">
        <v>780</v>
      </c>
      <c r="CM262" s="2" t="s">
        <v>854</v>
      </c>
      <c r="CN262" s="2" t="s">
        <v>602</v>
      </c>
      <c r="CO262" s="2" t="s">
        <v>372</v>
      </c>
      <c r="CP262" s="2" t="s">
        <v>6085</v>
      </c>
    </row>
    <row r="263" spans="1:94" ht="152" customHeight="1" x14ac:dyDescent="0.45">
      <c r="A263" s="2">
        <v>0</v>
      </c>
      <c r="B263" s="2">
        <v>0</v>
      </c>
      <c r="C263" s="2"/>
      <c r="D263" s="2"/>
      <c r="E263" s="2" t="s">
        <v>6086</v>
      </c>
      <c r="F263" s="2"/>
      <c r="G263" s="2" t="s">
        <v>6086</v>
      </c>
      <c r="H263" s="2" t="s">
        <v>5453</v>
      </c>
      <c r="I263" s="2" t="s">
        <v>6087</v>
      </c>
      <c r="J263" s="2" t="s">
        <v>6088</v>
      </c>
      <c r="K263" s="2" t="s">
        <v>5454</v>
      </c>
      <c r="L263" s="2" t="s">
        <v>6086</v>
      </c>
      <c r="M263" s="2" t="s">
        <v>6089</v>
      </c>
      <c r="N263" s="2" t="s">
        <v>5456</v>
      </c>
      <c r="O263" s="2" t="s">
        <v>5457</v>
      </c>
      <c r="P263" s="2" t="s">
        <v>1396</v>
      </c>
      <c r="Q263" s="2" t="s">
        <v>1396</v>
      </c>
      <c r="R263" s="2" t="s">
        <v>1396</v>
      </c>
      <c r="S263" s="2" t="s">
        <v>1396</v>
      </c>
      <c r="T263" s="2">
        <v>74</v>
      </c>
      <c r="U263" s="2">
        <v>16</v>
      </c>
      <c r="V263" s="2" t="s">
        <v>6090</v>
      </c>
      <c r="W263" s="2"/>
      <c r="X263" s="2"/>
      <c r="Y263" s="2"/>
      <c r="Z263" s="2" t="s">
        <v>6091</v>
      </c>
      <c r="AA263" s="2" t="s">
        <v>6092</v>
      </c>
      <c r="AB263" s="2">
        <v>20</v>
      </c>
      <c r="AC263" s="2" t="s">
        <v>214</v>
      </c>
      <c r="AD263" s="2" t="s">
        <v>5490</v>
      </c>
      <c r="AE263" s="2">
        <v>84</v>
      </c>
      <c r="AF263" s="2" t="s">
        <v>141</v>
      </c>
      <c r="AG263" s="2"/>
      <c r="AH263" s="2"/>
      <c r="AI263" s="2"/>
      <c r="AJ263" s="2"/>
      <c r="AK263" s="2" t="s">
        <v>6093</v>
      </c>
      <c r="AL263" s="2" t="s">
        <v>5467</v>
      </c>
      <c r="AM263" s="2" t="s">
        <v>6094</v>
      </c>
      <c r="AN263" s="2" t="s">
        <v>5492</v>
      </c>
      <c r="AO263" s="2" t="s">
        <v>6095</v>
      </c>
      <c r="AP263" s="2">
        <v>705348000</v>
      </c>
      <c r="AQ263" s="2">
        <v>705348000</v>
      </c>
      <c r="AR263" s="2" t="s">
        <v>541</v>
      </c>
      <c r="AS263" s="2">
        <v>38475180</v>
      </c>
      <c r="AT263" s="2" t="s">
        <v>5470</v>
      </c>
      <c r="AU263" s="2"/>
      <c r="AV263" s="2"/>
      <c r="AW263" s="2" t="s">
        <v>6096</v>
      </c>
      <c r="AX263" s="2">
        <v>76769650</v>
      </c>
      <c r="AY263" s="2" t="s">
        <v>6097</v>
      </c>
      <c r="AZ263" s="2" t="s">
        <v>6098</v>
      </c>
      <c r="BA263" s="2" t="s">
        <v>6099</v>
      </c>
      <c r="BB263" s="2">
        <v>0</v>
      </c>
      <c r="BC263" s="3" t="str">
        <f>HYPERLINK("https://patentscout.innography.com/share/Slv8G6eR69VaD8ovF6AxFQ%3D%3D","IN2008CN04241")</f>
        <v>IN2008CN04241</v>
      </c>
      <c r="BD263" s="2" t="s">
        <v>6100</v>
      </c>
      <c r="BE263" s="2"/>
      <c r="BF263" s="2" t="s">
        <v>6101</v>
      </c>
      <c r="BG263" s="2" t="str">
        <f>HYPERLINK("https://patentscout.innography.com/share/Slv8G6eR69VaD8ovF6AxFQ%3D%3D/download", "Download PDF")</f>
        <v>Download PDF</v>
      </c>
      <c r="BH263" s="2" t="s">
        <v>6102</v>
      </c>
      <c r="BI263" s="2"/>
      <c r="BJ263" s="2" t="s">
        <v>6103</v>
      </c>
      <c r="BK263" s="2" t="s">
        <v>5478</v>
      </c>
      <c r="BL263" s="2" t="s">
        <v>6104</v>
      </c>
      <c r="BM263" s="2"/>
      <c r="BN263" s="2"/>
      <c r="BO263" s="2"/>
      <c r="BP263" s="2"/>
      <c r="BQ263" s="2"/>
      <c r="BR263" s="2"/>
      <c r="BS263" s="2"/>
      <c r="BT263" s="2"/>
      <c r="BU263" s="2"/>
      <c r="BV263" s="2"/>
      <c r="BW263" s="2"/>
      <c r="BX263" s="2"/>
      <c r="BY263" s="2"/>
      <c r="BZ263" s="2"/>
      <c r="CA263" s="2"/>
      <c r="CB263" s="2"/>
      <c r="CC263" s="2" t="s">
        <v>6105</v>
      </c>
      <c r="CD263" s="2" t="str">
        <f>HYPERLINK("https://patentscout.innography.com/share/Slv8G6eR69VaD8ovF6AxFQ%3D%3D", "Innography Link")</f>
        <v>Innography Link</v>
      </c>
      <c r="CE263" s="2"/>
      <c r="CF263" s="2"/>
      <c r="CG263" s="2"/>
      <c r="CH263" s="2"/>
      <c r="CI263" s="2"/>
      <c r="CK263" s="2" t="s">
        <v>6106</v>
      </c>
      <c r="CL263" s="2" t="s">
        <v>6107</v>
      </c>
      <c r="CM263" s="2" t="s">
        <v>5502</v>
      </c>
      <c r="CN263" s="2" t="s">
        <v>6108</v>
      </c>
    </row>
    <row r="264" spans="1:94" ht="152" customHeight="1" x14ac:dyDescent="0.45">
      <c r="A264" s="2">
        <v>5</v>
      </c>
      <c r="B264" s="2">
        <v>0</v>
      </c>
      <c r="C264" s="2"/>
      <c r="D264" s="2" t="s">
        <v>6109</v>
      </c>
      <c r="E264" s="2" t="s">
        <v>6110</v>
      </c>
      <c r="F264" s="2" t="s">
        <v>5798</v>
      </c>
      <c r="G264" s="2" t="s">
        <v>5798</v>
      </c>
      <c r="H264" s="2" t="s">
        <v>6111</v>
      </c>
      <c r="I264" s="2" t="s">
        <v>6111</v>
      </c>
      <c r="J264" s="2" t="s">
        <v>6112</v>
      </c>
      <c r="K264" s="2" t="s">
        <v>6110</v>
      </c>
      <c r="L264" s="2" t="s">
        <v>6110</v>
      </c>
      <c r="M264" s="2" t="s">
        <v>6113</v>
      </c>
      <c r="N264" s="2" t="s">
        <v>6114</v>
      </c>
      <c r="O264" s="2" t="s">
        <v>6115</v>
      </c>
      <c r="P264" s="2"/>
      <c r="Q264" s="2" t="s">
        <v>6116</v>
      </c>
      <c r="R264" s="2" t="s">
        <v>6117</v>
      </c>
      <c r="S264" s="2"/>
      <c r="T264" s="2">
        <v>74</v>
      </c>
      <c r="U264" s="2">
        <v>79</v>
      </c>
      <c r="V264" s="2" t="s">
        <v>6118</v>
      </c>
      <c r="W264" s="2"/>
      <c r="X264" s="2"/>
      <c r="Y264" s="2"/>
      <c r="Z264" s="2" t="s">
        <v>6119</v>
      </c>
      <c r="AA264" s="2" t="s">
        <v>6120</v>
      </c>
      <c r="AB264" s="2">
        <v>12</v>
      </c>
      <c r="AC264" s="2" t="s">
        <v>3878</v>
      </c>
      <c r="AD264" s="2" t="s">
        <v>6121</v>
      </c>
      <c r="AE264" s="2">
        <v>466</v>
      </c>
      <c r="AF264" s="2" t="s">
        <v>141</v>
      </c>
      <c r="AG264" s="2"/>
      <c r="AH264" s="2"/>
      <c r="AI264" s="2" t="s">
        <v>6122</v>
      </c>
      <c r="AJ264" s="2"/>
      <c r="AK264" s="2" t="s">
        <v>1816</v>
      </c>
      <c r="AL264" s="2" t="s">
        <v>6123</v>
      </c>
      <c r="AM264" s="2" t="s">
        <v>6124</v>
      </c>
      <c r="AN264" s="2" t="s">
        <v>5752</v>
      </c>
      <c r="AO264" s="2" t="s">
        <v>5752</v>
      </c>
      <c r="AP264" s="2">
        <v>264001230</v>
      </c>
      <c r="AQ264" s="2">
        <v>264001230</v>
      </c>
      <c r="AR264" s="2" t="s">
        <v>1406</v>
      </c>
      <c r="AS264" s="2">
        <v>62962386</v>
      </c>
      <c r="AT264" s="2" t="s">
        <v>6125</v>
      </c>
      <c r="AU264" s="2"/>
      <c r="AV264" s="2"/>
      <c r="AW264" s="2" t="s">
        <v>3879</v>
      </c>
      <c r="AX264" s="2">
        <v>58522227</v>
      </c>
      <c r="AY264" s="2" t="s">
        <v>6126</v>
      </c>
      <c r="AZ264" s="2" t="s">
        <v>6127</v>
      </c>
      <c r="BA264" s="2" t="s">
        <v>6128</v>
      </c>
      <c r="BB264" s="2">
        <v>0</v>
      </c>
      <c r="BC264" s="3" t="str">
        <f>HYPERLINK("https://patentscout.innography.com/share/vagyfK-KRFy2CTeeAVmVUw%3D%3D","CN108345109")</f>
        <v>CN108345109</v>
      </c>
      <c r="BD264" s="2" t="s">
        <v>6129</v>
      </c>
      <c r="BE264" s="2" t="s">
        <v>6130</v>
      </c>
      <c r="BF264" s="2" t="s">
        <v>6131</v>
      </c>
      <c r="BG264" s="2" t="str">
        <f>HYPERLINK("https://patentscout.innography.com/share/vagyfK-KRFy2CTeeAVmVUw%3D%3D/download", "Download PDF")</f>
        <v>Download PDF</v>
      </c>
      <c r="BH264" s="2" t="s">
        <v>6132</v>
      </c>
      <c r="BI264" s="2"/>
      <c r="BJ264" s="2" t="s">
        <v>6122</v>
      </c>
      <c r="BK264" s="2" t="s">
        <v>6122</v>
      </c>
      <c r="BL264" s="2" t="s">
        <v>6122</v>
      </c>
      <c r="BM264" s="2"/>
      <c r="BN264" s="2"/>
      <c r="BO264" s="2"/>
      <c r="BP264" s="2"/>
      <c r="BQ264" s="2"/>
      <c r="BR264" s="2"/>
      <c r="BS264" s="2"/>
      <c r="BT264" s="2"/>
      <c r="BU264" s="2"/>
      <c r="BV264" s="2"/>
      <c r="BW264" s="2"/>
      <c r="BX264" s="2"/>
      <c r="BY264" s="2"/>
      <c r="BZ264" s="2"/>
      <c r="CA264" s="2"/>
      <c r="CB264" s="2"/>
      <c r="CC264" s="2" t="s">
        <v>3884</v>
      </c>
      <c r="CD264" s="2" t="str">
        <f>HYPERLINK("https://patentscout.innography.com/share/vagyfK-KRFy2CTeeAVmVUw%3D%3D", "Innography Link")</f>
        <v>Innography Link</v>
      </c>
      <c r="CE264" s="2"/>
      <c r="CF264" s="2"/>
      <c r="CG264" s="2"/>
      <c r="CH264" s="2"/>
      <c r="CI264" s="2"/>
      <c r="CK264" s="2" t="s">
        <v>6133</v>
      </c>
    </row>
    <row r="265" spans="1:94" ht="152" customHeight="1" x14ac:dyDescent="0.45">
      <c r="A265" s="2">
        <v>0</v>
      </c>
      <c r="B265" s="2">
        <v>0</v>
      </c>
      <c r="C265" s="2"/>
      <c r="D265" s="2"/>
      <c r="E265" s="2" t="s">
        <v>479</v>
      </c>
      <c r="F265" s="2"/>
      <c r="G265" s="2" t="s">
        <v>479</v>
      </c>
      <c r="H265" s="2" t="s">
        <v>126</v>
      </c>
      <c r="I265" s="2" t="s">
        <v>3303</v>
      </c>
      <c r="J265" s="2" t="s">
        <v>128</v>
      </c>
      <c r="K265" s="2" t="s">
        <v>479</v>
      </c>
      <c r="L265" s="2" t="s">
        <v>129</v>
      </c>
      <c r="M265" s="2" t="s">
        <v>6134</v>
      </c>
      <c r="N265" s="2" t="s">
        <v>6135</v>
      </c>
      <c r="O265" s="2"/>
      <c r="P265" s="2" t="s">
        <v>132</v>
      </c>
      <c r="Q265" s="2" t="s">
        <v>132</v>
      </c>
      <c r="R265" s="2" t="s">
        <v>6136</v>
      </c>
      <c r="S265" s="2" t="s">
        <v>132</v>
      </c>
      <c r="T265" s="2">
        <v>74</v>
      </c>
      <c r="U265" s="2">
        <v>26</v>
      </c>
      <c r="V265" s="2" t="s">
        <v>6137</v>
      </c>
      <c r="W265" s="2" t="s">
        <v>135</v>
      </c>
      <c r="X265" s="2">
        <v>2459</v>
      </c>
      <c r="Y265" s="2" t="s">
        <v>136</v>
      </c>
      <c r="Z265" s="2" t="s">
        <v>6138</v>
      </c>
      <c r="AA265" s="2" t="s">
        <v>6139</v>
      </c>
      <c r="AB265" s="2">
        <v>28</v>
      </c>
      <c r="AC265" s="2" t="s">
        <v>139</v>
      </c>
      <c r="AD265" s="2" t="s">
        <v>140</v>
      </c>
      <c r="AE265" s="2">
        <v>370</v>
      </c>
      <c r="AF265" s="2" t="s">
        <v>141</v>
      </c>
      <c r="AG265" s="2"/>
      <c r="AH265" s="2"/>
      <c r="AI265" s="2"/>
      <c r="AJ265" s="2"/>
      <c r="AK265" s="2" t="s">
        <v>142</v>
      </c>
      <c r="AL265" s="2" t="s">
        <v>143</v>
      </c>
      <c r="AM265" s="2" t="s">
        <v>6140</v>
      </c>
      <c r="AN265" s="2" t="s">
        <v>145</v>
      </c>
      <c r="AO265" s="2" t="s">
        <v>6141</v>
      </c>
      <c r="AP265" s="2">
        <v>370225000</v>
      </c>
      <c r="AQ265" s="2">
        <v>370225000</v>
      </c>
      <c r="AR265" s="2" t="s">
        <v>146</v>
      </c>
      <c r="AS265" s="2">
        <v>84193438</v>
      </c>
      <c r="AT265" s="2" t="s">
        <v>6142</v>
      </c>
      <c r="AU265" s="2"/>
      <c r="AV265" s="2"/>
      <c r="AW265" s="2" t="s">
        <v>148</v>
      </c>
      <c r="AX265" s="2">
        <v>39917314</v>
      </c>
      <c r="AY265" s="2" t="s">
        <v>149</v>
      </c>
      <c r="AZ265" s="2" t="s">
        <v>6143</v>
      </c>
      <c r="BA265" s="2" t="s">
        <v>151</v>
      </c>
      <c r="BB265" s="2">
        <v>0</v>
      </c>
      <c r="BC265" s="3" t="str">
        <f>HYPERLINK("https://patentscout.innography.com/share/5Cu-_rQBQNf99Hyw-y7_oQ%3D%3D","US20220385638")</f>
        <v>US20220385638</v>
      </c>
      <c r="BD265" s="2" t="s">
        <v>6144</v>
      </c>
      <c r="BE265" s="2" t="s">
        <v>6145</v>
      </c>
      <c r="BF265" s="2" t="s">
        <v>6146</v>
      </c>
      <c r="BG265" s="2" t="str">
        <f>HYPERLINK("https://patentscout.innography.com/share/5Cu-_rQBQNf99Hyw-y7_oQ%3D%3D/download", "Download PDF")</f>
        <v>Download PDF</v>
      </c>
      <c r="BH265" s="2" t="s">
        <v>6147</v>
      </c>
      <c r="BI265" s="2"/>
      <c r="BJ265" s="2" t="s">
        <v>6148</v>
      </c>
      <c r="BK265" s="2" t="s">
        <v>6148</v>
      </c>
      <c r="BL265" s="2" t="s">
        <v>157</v>
      </c>
      <c r="BM265" s="2"/>
      <c r="BN265" s="2"/>
      <c r="BO265" s="2"/>
      <c r="BP265" s="2"/>
      <c r="BQ265" s="2"/>
      <c r="BR265" s="2"/>
      <c r="BS265" s="2"/>
      <c r="BT265" s="2"/>
      <c r="BU265" s="2"/>
      <c r="BV265" s="2"/>
      <c r="BW265" s="2"/>
      <c r="BX265" s="2"/>
      <c r="BY265" s="2"/>
      <c r="BZ265" s="2"/>
      <c r="CA265" s="2"/>
      <c r="CB265" s="2"/>
      <c r="CC265" s="2" t="s">
        <v>158</v>
      </c>
      <c r="CD265" s="2" t="str">
        <f>HYPERLINK("https://patentscout.innography.com/share/5Cu-_rQBQNf99Hyw-y7_oQ%3D%3D", "Innography Link")</f>
        <v>Innography Link</v>
      </c>
      <c r="CE265" s="2"/>
      <c r="CF265" s="2"/>
      <c r="CG265" s="2"/>
      <c r="CH265" s="2"/>
      <c r="CI265" s="2"/>
      <c r="CK265" s="2" t="s">
        <v>6149</v>
      </c>
      <c r="CL265" s="2" t="s">
        <v>6150</v>
      </c>
      <c r="CM265" s="2" t="s">
        <v>6151</v>
      </c>
      <c r="CN265" s="2" t="s">
        <v>6152</v>
      </c>
      <c r="CO265" s="2" t="s">
        <v>6153</v>
      </c>
      <c r="CP265" s="2" t="s">
        <v>6154</v>
      </c>
    </row>
    <row r="266" spans="1:94" ht="152" customHeight="1" x14ac:dyDescent="0.45">
      <c r="A266" s="2">
        <v>0</v>
      </c>
      <c r="B266" s="2">
        <v>0</v>
      </c>
      <c r="C266" s="2"/>
      <c r="D266" s="2"/>
      <c r="E266" s="2" t="s">
        <v>6155</v>
      </c>
      <c r="F266" s="2"/>
      <c r="G266" s="2" t="s">
        <v>6155</v>
      </c>
      <c r="H266" s="2" t="s">
        <v>1026</v>
      </c>
      <c r="I266" s="2" t="s">
        <v>1026</v>
      </c>
      <c r="J266" s="2" t="s">
        <v>1027</v>
      </c>
      <c r="K266" s="2" t="s">
        <v>6155</v>
      </c>
      <c r="L266" s="2" t="s">
        <v>6155</v>
      </c>
      <c r="M266" s="2" t="s">
        <v>6156</v>
      </c>
      <c r="N266" s="2" t="s">
        <v>6157</v>
      </c>
      <c r="O266" s="2"/>
      <c r="P266" s="2" t="s">
        <v>6158</v>
      </c>
      <c r="Q266" s="2"/>
      <c r="R266" s="2"/>
      <c r="S266" s="2" t="s">
        <v>6158</v>
      </c>
      <c r="T266" s="2">
        <v>74</v>
      </c>
      <c r="U266" s="2">
        <v>6</v>
      </c>
      <c r="V266" s="2" t="s">
        <v>6159</v>
      </c>
      <c r="W266" s="2"/>
      <c r="X266" s="2"/>
      <c r="Y266" s="2"/>
      <c r="Z266" s="2" t="s">
        <v>6160</v>
      </c>
      <c r="AA266" s="2" t="s">
        <v>6161</v>
      </c>
      <c r="AB266" s="2">
        <v>8</v>
      </c>
      <c r="AC266" s="2" t="s">
        <v>214</v>
      </c>
      <c r="AD266" s="2" t="s">
        <v>6162</v>
      </c>
      <c r="AE266" s="2">
        <v>204</v>
      </c>
      <c r="AF266" s="2" t="s">
        <v>141</v>
      </c>
      <c r="AG266" s="2"/>
      <c r="AH266" s="2"/>
      <c r="AI266" s="2"/>
      <c r="AJ266" s="2"/>
      <c r="AK266" s="2" t="s">
        <v>1816</v>
      </c>
      <c r="AL266" s="2" t="s">
        <v>6163</v>
      </c>
      <c r="AM266" s="2" t="s">
        <v>6164</v>
      </c>
      <c r="AN266" s="2" t="s">
        <v>6165</v>
      </c>
      <c r="AO266" s="2" t="s">
        <v>6166</v>
      </c>
      <c r="AP266" s="2"/>
      <c r="AQ266" s="2"/>
      <c r="AR266" s="2" t="s">
        <v>253</v>
      </c>
      <c r="AS266" s="2">
        <v>82676346</v>
      </c>
      <c r="AT266" s="2" t="s">
        <v>6167</v>
      </c>
      <c r="AU266" s="2"/>
      <c r="AV266" s="2"/>
      <c r="AW266" s="2" t="s">
        <v>1821</v>
      </c>
      <c r="AX266" s="2">
        <v>90101883</v>
      </c>
      <c r="AY266" s="2" t="s">
        <v>6168</v>
      </c>
      <c r="AZ266" s="2" t="s">
        <v>6169</v>
      </c>
      <c r="BA266" s="2" t="s">
        <v>1039</v>
      </c>
      <c r="BB266" s="2">
        <v>0</v>
      </c>
      <c r="BC266" s="3" t="str">
        <f>HYPERLINK("https://patentscout.innography.com/share/RIwxnRVt8BDEQUWtQFSkCA%3D%3D","CN114882563")</f>
        <v>CN114882563</v>
      </c>
      <c r="BD266" s="2" t="s">
        <v>6170</v>
      </c>
      <c r="BE266" s="2" t="s">
        <v>6171</v>
      </c>
      <c r="BF266" s="2" t="s">
        <v>6172</v>
      </c>
      <c r="BG266" s="2" t="str">
        <f>HYPERLINK("https://patentscout.innography.com/share/RIwxnRVt8BDEQUWtQFSkCA%3D%3D/download", "Download PDF")</f>
        <v>Download PDF</v>
      </c>
      <c r="BH266" s="2" t="s">
        <v>6173</v>
      </c>
      <c r="BI266" s="2"/>
      <c r="BJ266" s="2" t="s">
        <v>6168</v>
      </c>
      <c r="BK266" s="2" t="s">
        <v>6168</v>
      </c>
      <c r="BL266" s="2" t="s">
        <v>6168</v>
      </c>
      <c r="BM266" s="2"/>
      <c r="BN266" s="2"/>
      <c r="BO266" s="2"/>
      <c r="BP266" s="2"/>
      <c r="BQ266" s="2"/>
      <c r="BR266" s="2"/>
      <c r="BS266" s="2"/>
      <c r="BT266" s="2"/>
      <c r="BU266" s="2"/>
      <c r="BV266" s="2"/>
      <c r="BW266" s="2"/>
      <c r="BX266" s="2"/>
      <c r="BY266" s="2"/>
      <c r="BZ266" s="2"/>
      <c r="CA266" s="2"/>
      <c r="CB266" s="2"/>
      <c r="CC266" s="2" t="s">
        <v>1829</v>
      </c>
      <c r="CD266" s="2" t="str">
        <f>HYPERLINK("https://patentscout.innography.com/share/RIwxnRVt8BDEQUWtQFSkCA%3D%3D", "Innography Link")</f>
        <v>Innography Link</v>
      </c>
      <c r="CE266" s="2"/>
      <c r="CF266" s="2"/>
      <c r="CG266" s="2"/>
      <c r="CH266" s="2"/>
      <c r="CI266" s="2"/>
      <c r="CK266" s="2" t="s">
        <v>6174</v>
      </c>
    </row>
    <row r="267" spans="1:94" ht="152" customHeight="1" x14ac:dyDescent="0.45">
      <c r="A267" s="2">
        <v>0</v>
      </c>
      <c r="B267" s="2">
        <v>11</v>
      </c>
      <c r="C267" s="2" t="s">
        <v>6175</v>
      </c>
      <c r="D267" s="2"/>
      <c r="E267" s="2" t="s">
        <v>2306</v>
      </c>
      <c r="F267" s="2" t="s">
        <v>4093</v>
      </c>
      <c r="G267" s="2" t="s">
        <v>2306</v>
      </c>
      <c r="H267" s="2" t="s">
        <v>6176</v>
      </c>
      <c r="I267" s="2" t="s">
        <v>6176</v>
      </c>
      <c r="J267" s="2" t="s">
        <v>4093</v>
      </c>
      <c r="K267" s="2" t="s">
        <v>2306</v>
      </c>
      <c r="L267" s="2" t="s">
        <v>2306</v>
      </c>
      <c r="M267" s="2" t="s">
        <v>6177</v>
      </c>
      <c r="N267" s="2" t="s">
        <v>6178</v>
      </c>
      <c r="O267" s="2"/>
      <c r="P267" s="2" t="s">
        <v>6179</v>
      </c>
      <c r="Q267" s="2" t="s">
        <v>6180</v>
      </c>
      <c r="R267" s="2" t="s">
        <v>6180</v>
      </c>
      <c r="S267" s="2" t="s">
        <v>6179</v>
      </c>
      <c r="T267" s="2">
        <v>74</v>
      </c>
      <c r="U267" s="2">
        <v>6</v>
      </c>
      <c r="V267" s="2" t="s">
        <v>6181</v>
      </c>
      <c r="W267" s="2"/>
      <c r="X267" s="2"/>
      <c r="Y267" s="2"/>
      <c r="Z267" s="2" t="s">
        <v>6182</v>
      </c>
      <c r="AA267" s="2" t="s">
        <v>6183</v>
      </c>
      <c r="AB267" s="2">
        <v>10</v>
      </c>
      <c r="AC267" s="2" t="s">
        <v>214</v>
      </c>
      <c r="AD267" s="2" t="s">
        <v>6184</v>
      </c>
      <c r="AE267" s="2">
        <v>218</v>
      </c>
      <c r="AF267" s="2" t="s">
        <v>180</v>
      </c>
      <c r="AG267" s="2"/>
      <c r="AH267" s="2"/>
      <c r="AI267" s="2" t="s">
        <v>6185</v>
      </c>
      <c r="AJ267" s="2"/>
      <c r="AK267" s="2" t="s">
        <v>1816</v>
      </c>
      <c r="AL267" s="2" t="s">
        <v>3165</v>
      </c>
      <c r="AM267" s="2" t="s">
        <v>3165</v>
      </c>
      <c r="AN267" s="2" t="s">
        <v>2291</v>
      </c>
      <c r="AO267" s="2" t="s">
        <v>6186</v>
      </c>
      <c r="AP267" s="2">
        <v>713340000</v>
      </c>
      <c r="AQ267" s="2">
        <v>713340000</v>
      </c>
      <c r="AR267" s="2" t="s">
        <v>253</v>
      </c>
      <c r="AS267" s="2">
        <v>83300745</v>
      </c>
      <c r="AT267" s="2" t="s">
        <v>6187</v>
      </c>
      <c r="AU267" s="2"/>
      <c r="AV267" s="2"/>
      <c r="AW267" s="2" t="s">
        <v>1821</v>
      </c>
      <c r="AX267" s="2">
        <v>90826324</v>
      </c>
      <c r="AY267" s="2" t="s">
        <v>6188</v>
      </c>
      <c r="AZ267" s="2" t="s">
        <v>6189</v>
      </c>
      <c r="BA267" s="2" t="s">
        <v>6190</v>
      </c>
      <c r="BB267" s="2">
        <v>0</v>
      </c>
      <c r="BC267" s="3" t="str">
        <f>HYPERLINK("https://patentscout.innography.com/share/4E4IX_UIAiOzdtli2h_tBw%3D%3D","CN115099068")</f>
        <v>CN115099068</v>
      </c>
      <c r="BD267" s="2" t="s">
        <v>6191</v>
      </c>
      <c r="BE267" s="2" t="s">
        <v>6192</v>
      </c>
      <c r="BF267" s="2" t="s">
        <v>6193</v>
      </c>
      <c r="BG267" s="2" t="str">
        <f>HYPERLINK("https://patentscout.innography.com/share/4E4IX_UIAiOzdtli2h_tBw%3D%3D/download", "Download PDF")</f>
        <v>Download PDF</v>
      </c>
      <c r="BH267" s="2" t="s">
        <v>6194</v>
      </c>
      <c r="BI267" s="2"/>
      <c r="BJ267" s="2" t="s">
        <v>6195</v>
      </c>
      <c r="BK267" s="2" t="s">
        <v>6195</v>
      </c>
      <c r="BL267" s="2" t="s">
        <v>6195</v>
      </c>
      <c r="BM267" s="2"/>
      <c r="BN267" s="2"/>
      <c r="BO267" s="2"/>
      <c r="BP267" s="2"/>
      <c r="BQ267" s="2"/>
      <c r="BR267" s="2"/>
      <c r="BS267" s="2"/>
      <c r="BT267" s="2"/>
      <c r="BU267" s="2"/>
      <c r="BV267" s="2"/>
      <c r="BW267" s="2"/>
      <c r="BX267" s="2"/>
      <c r="BY267" s="2"/>
      <c r="BZ267" s="2"/>
      <c r="CA267" s="2"/>
      <c r="CB267" s="2"/>
      <c r="CC267" s="2" t="s">
        <v>1829</v>
      </c>
      <c r="CD267" s="2" t="str">
        <f>HYPERLINK("https://patentscout.innography.com/share/4E4IX_UIAiOzdtli2h_tBw%3D%3D", "Innography Link")</f>
        <v>Innography Link</v>
      </c>
      <c r="CE267" s="2" t="s">
        <v>1045</v>
      </c>
      <c r="CF267" s="2" t="s">
        <v>5165</v>
      </c>
      <c r="CG267" s="2" t="s">
        <v>1047</v>
      </c>
      <c r="CH267" s="2" t="s">
        <v>1048</v>
      </c>
      <c r="CI267" s="2"/>
      <c r="CK267" s="2" t="s">
        <v>6196</v>
      </c>
    </row>
    <row r="268" spans="1:94" ht="152" customHeight="1" x14ac:dyDescent="0.45">
      <c r="A268" s="2">
        <v>0</v>
      </c>
      <c r="B268" s="2">
        <v>11</v>
      </c>
      <c r="C268" s="2"/>
      <c r="D268" s="2"/>
      <c r="E268" s="2" t="s">
        <v>2306</v>
      </c>
      <c r="F268" s="2" t="s">
        <v>4093</v>
      </c>
      <c r="G268" s="2" t="s">
        <v>4093</v>
      </c>
      <c r="H268" s="2" t="s">
        <v>6176</v>
      </c>
      <c r="I268" s="2" t="s">
        <v>6176</v>
      </c>
      <c r="J268" s="2" t="s">
        <v>710</v>
      </c>
      <c r="K268" s="2" t="s">
        <v>2306</v>
      </c>
      <c r="L268" s="2" t="s">
        <v>2306</v>
      </c>
      <c r="M268" s="2" t="s">
        <v>6177</v>
      </c>
      <c r="N268" s="2" t="s">
        <v>6178</v>
      </c>
      <c r="O268" s="2" t="s">
        <v>6197</v>
      </c>
      <c r="P268" s="2"/>
      <c r="Q268" s="2"/>
      <c r="R268" s="2"/>
      <c r="S268" s="2"/>
      <c r="T268" s="2">
        <v>74</v>
      </c>
      <c r="U268" s="2">
        <v>8</v>
      </c>
      <c r="V268" s="2" t="s">
        <v>6181</v>
      </c>
      <c r="W268" s="2"/>
      <c r="X268" s="2"/>
      <c r="Y268" s="2"/>
      <c r="Z268" s="2" t="s">
        <v>6182</v>
      </c>
      <c r="AA268" s="2" t="s">
        <v>6183</v>
      </c>
      <c r="AB268" s="2">
        <v>10</v>
      </c>
      <c r="AC268" s="2" t="s">
        <v>3878</v>
      </c>
      <c r="AD268" s="2"/>
      <c r="AE268" s="2">
        <v>218</v>
      </c>
      <c r="AF268" s="2" t="s">
        <v>141</v>
      </c>
      <c r="AG268" s="2"/>
      <c r="AH268" s="2"/>
      <c r="AI268" s="2" t="s">
        <v>6195</v>
      </c>
      <c r="AJ268" s="2"/>
      <c r="AK268" s="2" t="s">
        <v>1816</v>
      </c>
      <c r="AL268" s="2" t="s">
        <v>3165</v>
      </c>
      <c r="AM268" s="2" t="s">
        <v>3165</v>
      </c>
      <c r="AN268" s="2" t="s">
        <v>2291</v>
      </c>
      <c r="AO268" s="2" t="s">
        <v>6186</v>
      </c>
      <c r="AP268" s="2">
        <v>713340000</v>
      </c>
      <c r="AQ268" s="2">
        <v>713340000</v>
      </c>
      <c r="AR268" s="2" t="s">
        <v>253</v>
      </c>
      <c r="AS268" s="2">
        <v>83300745</v>
      </c>
      <c r="AT268" s="2" t="s">
        <v>6187</v>
      </c>
      <c r="AU268" s="2"/>
      <c r="AV268" s="2"/>
      <c r="AW268" s="2" t="s">
        <v>3879</v>
      </c>
      <c r="AX268" s="2">
        <v>90826324</v>
      </c>
      <c r="AY268" s="2" t="s">
        <v>6188</v>
      </c>
      <c r="AZ268" s="2" t="s">
        <v>6189</v>
      </c>
      <c r="BA268" s="2" t="s">
        <v>6198</v>
      </c>
      <c r="BB268" s="2">
        <v>0</v>
      </c>
      <c r="BC268" s="3" t="str">
        <f>HYPERLINK("https://patentscout.innography.com/share/Pb89U0OYYSzDA2HsTvlWvQ%3D%3D","CN115099068")</f>
        <v>CN115099068</v>
      </c>
      <c r="BD268" s="2" t="s">
        <v>6199</v>
      </c>
      <c r="BE268" s="2" t="s">
        <v>6192</v>
      </c>
      <c r="BF268" s="2" t="s">
        <v>6200</v>
      </c>
      <c r="BG268" s="2" t="str">
        <f>HYPERLINK("https://patentscout.innography.com/share/Pb89U0OYYSzDA2HsTvlWvQ%3D%3D/download", "Download PDF")</f>
        <v>Download PDF</v>
      </c>
      <c r="BH268" s="2" t="s">
        <v>6201</v>
      </c>
      <c r="BI268" s="2"/>
      <c r="BJ268" s="2" t="s">
        <v>6195</v>
      </c>
      <c r="BK268" s="2" t="s">
        <v>6195</v>
      </c>
      <c r="BL268" s="2" t="s">
        <v>6195</v>
      </c>
      <c r="BM268" s="2"/>
      <c r="BN268" s="2"/>
      <c r="BO268" s="2"/>
      <c r="BP268" s="2"/>
      <c r="BQ268" s="2"/>
      <c r="BR268" s="2"/>
      <c r="BS268" s="2"/>
      <c r="BT268" s="2"/>
      <c r="BU268" s="2"/>
      <c r="BV268" s="2"/>
      <c r="BW268" s="2"/>
      <c r="BX268" s="2"/>
      <c r="BY268" s="2"/>
      <c r="BZ268" s="2"/>
      <c r="CA268" s="2"/>
      <c r="CB268" s="2"/>
      <c r="CC268" s="2" t="s">
        <v>3884</v>
      </c>
      <c r="CD268" s="2" t="str">
        <f>HYPERLINK("https://patentscout.innography.com/share/Pb89U0OYYSzDA2HsTvlWvQ%3D%3D", "Innography Link")</f>
        <v>Innography Link</v>
      </c>
      <c r="CE268" s="2"/>
      <c r="CF268" s="2"/>
      <c r="CG268" s="2"/>
      <c r="CH268" s="2"/>
      <c r="CI268" s="2"/>
      <c r="CK268" s="2" t="s">
        <v>6196</v>
      </c>
    </row>
    <row r="269" spans="1:94" ht="152" customHeight="1" x14ac:dyDescent="0.45">
      <c r="A269" s="2">
        <v>0</v>
      </c>
      <c r="B269" s="2">
        <v>0</v>
      </c>
      <c r="C269" s="2"/>
      <c r="D269" s="2"/>
      <c r="E269" s="2" t="s">
        <v>351</v>
      </c>
      <c r="F269" s="2"/>
      <c r="G269" s="2" t="s">
        <v>351</v>
      </c>
      <c r="H269" s="2" t="s">
        <v>6202</v>
      </c>
      <c r="I269" s="2" t="s">
        <v>1866</v>
      </c>
      <c r="J269" s="2" t="s">
        <v>6203</v>
      </c>
      <c r="K269" s="2" t="s">
        <v>351</v>
      </c>
      <c r="L269" s="2" t="s">
        <v>1916</v>
      </c>
      <c r="M269" s="2" t="s">
        <v>6204</v>
      </c>
      <c r="N269" s="2" t="s">
        <v>6205</v>
      </c>
      <c r="O269" s="2"/>
      <c r="P269" s="2" t="s">
        <v>6206</v>
      </c>
      <c r="Q269" s="2" t="s">
        <v>6207</v>
      </c>
      <c r="R269" s="2" t="s">
        <v>6208</v>
      </c>
      <c r="S269" s="2" t="s">
        <v>6206</v>
      </c>
      <c r="T269" s="2">
        <v>74</v>
      </c>
      <c r="U269" s="2">
        <v>15</v>
      </c>
      <c r="V269" s="2" t="s">
        <v>6209</v>
      </c>
      <c r="W269" s="2" t="s">
        <v>533</v>
      </c>
      <c r="X269" s="2"/>
      <c r="Y269" s="2"/>
      <c r="Z269" s="2" t="s">
        <v>6210</v>
      </c>
      <c r="AA269" s="2" t="s">
        <v>6211</v>
      </c>
      <c r="AB269" s="2">
        <v>20</v>
      </c>
      <c r="AC269" s="2" t="s">
        <v>139</v>
      </c>
      <c r="AD269" s="2" t="s">
        <v>6212</v>
      </c>
      <c r="AE269" s="2">
        <v>106</v>
      </c>
      <c r="AF269" s="2" t="s">
        <v>141</v>
      </c>
      <c r="AG269" s="2"/>
      <c r="AH269" s="2"/>
      <c r="AI269" s="2"/>
      <c r="AJ269" s="2"/>
      <c r="AK269" s="2" t="s">
        <v>142</v>
      </c>
      <c r="AL269" s="2" t="s">
        <v>6213</v>
      </c>
      <c r="AM269" s="2" t="s">
        <v>6214</v>
      </c>
      <c r="AN269" s="2" t="s">
        <v>6215</v>
      </c>
      <c r="AO269" s="2" t="s">
        <v>6216</v>
      </c>
      <c r="AP269" s="2">
        <v>340005530</v>
      </c>
      <c r="AQ269" s="2">
        <v>340005530</v>
      </c>
      <c r="AR269" s="2" t="s">
        <v>541</v>
      </c>
      <c r="AS269" s="2">
        <v>84390514</v>
      </c>
      <c r="AT269" s="2" t="s">
        <v>6217</v>
      </c>
      <c r="AU269" s="2"/>
      <c r="AV269" s="2"/>
      <c r="AW269" s="2" t="s">
        <v>148</v>
      </c>
      <c r="AX269" s="2">
        <v>90000982</v>
      </c>
      <c r="AY269" s="2" t="s">
        <v>6218</v>
      </c>
      <c r="AZ269" s="2" t="s">
        <v>6219</v>
      </c>
      <c r="BA269" s="2" t="s">
        <v>6220</v>
      </c>
      <c r="BB269" s="2">
        <v>0</v>
      </c>
      <c r="BC269" s="3" t="str">
        <f>HYPERLINK("https://patentscout.innography.com/share/b3fB-_HOsRH3vDIVtuqDGg%3D%3D","US20220398730")</f>
        <v>US20220398730</v>
      </c>
      <c r="BD269" s="2" t="s">
        <v>6221</v>
      </c>
      <c r="BE269" s="2" t="s">
        <v>6222</v>
      </c>
      <c r="BF269" s="2" t="s">
        <v>6223</v>
      </c>
      <c r="BG269" s="2" t="str">
        <f>HYPERLINK("https://patentscout.innography.com/share/b3fB-_HOsRH3vDIVtuqDGg%3D%3D/download", "Download PDF")</f>
        <v>Download PDF</v>
      </c>
      <c r="BH269" s="2" t="s">
        <v>6224</v>
      </c>
      <c r="BI269" s="2"/>
      <c r="BJ269" s="2" t="s">
        <v>6225</v>
      </c>
      <c r="BK269" s="2" t="s">
        <v>6225</v>
      </c>
      <c r="BL269" s="2" t="s">
        <v>6226</v>
      </c>
      <c r="BM269" s="2"/>
      <c r="BN269" s="2"/>
      <c r="BO269" s="2"/>
      <c r="BP269" s="2"/>
      <c r="BQ269" s="2"/>
      <c r="BR269" s="2"/>
      <c r="BS269" s="2"/>
      <c r="BT269" s="2"/>
      <c r="BU269" s="2"/>
      <c r="BV269" s="2"/>
      <c r="BW269" s="2"/>
      <c r="BX269" s="2"/>
      <c r="BY269" s="2"/>
      <c r="BZ269" s="2"/>
      <c r="CA269" s="2"/>
      <c r="CB269" s="2"/>
      <c r="CC269" s="2" t="s">
        <v>158</v>
      </c>
      <c r="CD269" s="2" t="str">
        <f>HYPERLINK("https://patentscout.innography.com/share/b3fB-_HOsRH3vDIVtuqDGg%3D%3D", "Innography Link")</f>
        <v>Innography Link</v>
      </c>
      <c r="CE269" s="2"/>
      <c r="CF269" s="2"/>
      <c r="CG269" s="2"/>
      <c r="CH269" s="2"/>
      <c r="CI269" s="2"/>
      <c r="CK269" s="2" t="s">
        <v>6227</v>
      </c>
      <c r="CL269" s="2" t="s">
        <v>6228</v>
      </c>
    </row>
    <row r="270" spans="1:94" ht="152" customHeight="1" x14ac:dyDescent="0.45">
      <c r="A270" s="2">
        <v>55</v>
      </c>
      <c r="B270" s="2">
        <v>4</v>
      </c>
      <c r="C270" s="2" t="s">
        <v>6229</v>
      </c>
      <c r="D270" s="2" t="s">
        <v>6230</v>
      </c>
      <c r="E270" s="2" t="s">
        <v>6231</v>
      </c>
      <c r="F270" s="2"/>
      <c r="G270" s="2" t="s">
        <v>6231</v>
      </c>
      <c r="H270" s="2" t="s">
        <v>6232</v>
      </c>
      <c r="I270" s="2" t="s">
        <v>6233</v>
      </c>
      <c r="J270" s="2" t="s">
        <v>6234</v>
      </c>
      <c r="K270" s="2" t="s">
        <v>6231</v>
      </c>
      <c r="L270" s="2" t="s">
        <v>6231</v>
      </c>
      <c r="M270" s="2" t="s">
        <v>6235</v>
      </c>
      <c r="N270" s="2" t="s">
        <v>6236</v>
      </c>
      <c r="O270" s="2" t="s">
        <v>6237</v>
      </c>
      <c r="P270" s="2" t="s">
        <v>6238</v>
      </c>
      <c r="Q270" s="2" t="s">
        <v>6239</v>
      </c>
      <c r="R270" s="2" t="s">
        <v>6239</v>
      </c>
      <c r="S270" s="2" t="s">
        <v>6240</v>
      </c>
      <c r="T270" s="2">
        <v>74</v>
      </c>
      <c r="U270" s="2">
        <v>56</v>
      </c>
      <c r="V270" s="2" t="s">
        <v>6241</v>
      </c>
      <c r="W270" s="2" t="s">
        <v>6242</v>
      </c>
      <c r="X270" s="2">
        <v>3714</v>
      </c>
      <c r="Y270" s="2" t="s">
        <v>6243</v>
      </c>
      <c r="Z270" s="2" t="s">
        <v>6244</v>
      </c>
      <c r="AA270" s="2" t="s">
        <v>6245</v>
      </c>
      <c r="AB270" s="2">
        <v>18</v>
      </c>
      <c r="AC270" s="2" t="s">
        <v>139</v>
      </c>
      <c r="AD270" s="2" t="s">
        <v>6246</v>
      </c>
      <c r="AE270" s="2">
        <v>201</v>
      </c>
      <c r="AF270" s="2" t="s">
        <v>180</v>
      </c>
      <c r="AG270" s="2"/>
      <c r="AH270" s="2"/>
      <c r="AI270" s="2"/>
      <c r="AJ270" s="2"/>
      <c r="AK270" s="2" t="s">
        <v>142</v>
      </c>
      <c r="AL270" s="2" t="s">
        <v>1348</v>
      </c>
      <c r="AM270" s="2" t="s">
        <v>6247</v>
      </c>
      <c r="AN270" s="2" t="s">
        <v>5281</v>
      </c>
      <c r="AO270" s="2" t="s">
        <v>5281</v>
      </c>
      <c r="AP270" s="2">
        <v>463001000</v>
      </c>
      <c r="AQ270" s="2">
        <v>463001000</v>
      </c>
      <c r="AR270" s="2" t="s">
        <v>185</v>
      </c>
      <c r="AS270" s="2">
        <v>46328559</v>
      </c>
      <c r="AT270" s="2" t="s">
        <v>6248</v>
      </c>
      <c r="AU270" s="2"/>
      <c r="AV270" s="2"/>
      <c r="AW270" s="2" t="s">
        <v>148</v>
      </c>
      <c r="AX270" s="2">
        <v>29108537</v>
      </c>
      <c r="AY270" s="2" t="s">
        <v>6249</v>
      </c>
      <c r="AZ270" s="2" t="s">
        <v>6250</v>
      </c>
      <c r="BA270" s="2" t="s">
        <v>306</v>
      </c>
      <c r="BB270" s="2">
        <v>0</v>
      </c>
      <c r="BC270" s="3" t="str">
        <f>HYPERLINK("https://patentscout.innography.com/share/uyUgJFRqLpiwNvug-yxJVQ%3D%3D","US20080147424")</f>
        <v>US20080147424</v>
      </c>
      <c r="BD270" s="2" t="s">
        <v>6251</v>
      </c>
      <c r="BE270" s="2" t="s">
        <v>6252</v>
      </c>
      <c r="BF270" s="2" t="s">
        <v>6253</v>
      </c>
      <c r="BG270" s="2" t="str">
        <f>HYPERLINK("https://patentscout.innography.com/share/uyUgJFRqLpiwNvug-yxJVQ%3D%3D/download", "Download PDF")</f>
        <v>Download PDF</v>
      </c>
      <c r="BH270" s="2" t="s">
        <v>6254</v>
      </c>
      <c r="BI270" s="2"/>
      <c r="BJ270" s="2" t="s">
        <v>6255</v>
      </c>
      <c r="BK270" s="2" t="s">
        <v>6255</v>
      </c>
      <c r="BL270" s="2" t="s">
        <v>6256</v>
      </c>
      <c r="BM270" s="2"/>
      <c r="BN270" s="2" t="s">
        <v>3628</v>
      </c>
      <c r="BO270" s="2"/>
      <c r="BP270" s="2"/>
      <c r="BQ270" s="2" t="s">
        <v>3629</v>
      </c>
      <c r="BR270" s="2"/>
      <c r="BS270" s="2"/>
      <c r="BT270" s="2" t="s">
        <v>6257</v>
      </c>
      <c r="BU270" s="2" t="s">
        <v>6258</v>
      </c>
      <c r="BV270" s="2"/>
      <c r="BW270" s="2" t="s">
        <v>318</v>
      </c>
      <c r="BX270" s="2"/>
      <c r="BY270" s="2"/>
      <c r="BZ270" s="2"/>
      <c r="CA270" s="2"/>
      <c r="CB270" s="2"/>
      <c r="CC270" s="2" t="s">
        <v>158</v>
      </c>
      <c r="CD270" s="2" t="str">
        <f>HYPERLINK("https://patentscout.innography.com/share/uyUgJFRqLpiwNvug-yxJVQ%3D%3D", "Innography Link")</f>
        <v>Innography Link</v>
      </c>
      <c r="CE270" s="2"/>
      <c r="CF270" s="2"/>
      <c r="CG270" s="2"/>
      <c r="CH270" s="2"/>
      <c r="CI270" s="2"/>
      <c r="CK270" s="2" t="s">
        <v>6259</v>
      </c>
    </row>
    <row r="271" spans="1:94" ht="152" customHeight="1" x14ac:dyDescent="0.45">
      <c r="A271" s="2">
        <v>0</v>
      </c>
      <c r="B271" s="2">
        <v>4</v>
      </c>
      <c r="C271" s="2" t="s">
        <v>6260</v>
      </c>
      <c r="D271" s="2"/>
      <c r="E271" s="2"/>
      <c r="F271" s="2" t="s">
        <v>6261</v>
      </c>
      <c r="G271" s="2" t="s">
        <v>6261</v>
      </c>
      <c r="H271" s="2" t="s">
        <v>708</v>
      </c>
      <c r="I271" s="2" t="s">
        <v>708</v>
      </c>
      <c r="J271" s="2" t="s">
        <v>3552</v>
      </c>
      <c r="K271" s="2" t="s">
        <v>6261</v>
      </c>
      <c r="L271" s="2" t="s">
        <v>6261</v>
      </c>
      <c r="M271" s="2" t="s">
        <v>6262</v>
      </c>
      <c r="N271" s="2" t="s">
        <v>6263</v>
      </c>
      <c r="O271" s="2"/>
      <c r="P271" s="2" t="s">
        <v>6264</v>
      </c>
      <c r="Q271" s="2" t="s">
        <v>6264</v>
      </c>
      <c r="R271" s="2" t="s">
        <v>6265</v>
      </c>
      <c r="S271" s="2" t="s">
        <v>6264</v>
      </c>
      <c r="T271" s="2">
        <v>74</v>
      </c>
      <c r="U271" s="2">
        <v>9</v>
      </c>
      <c r="V271" s="2" t="s">
        <v>6266</v>
      </c>
      <c r="W271" s="2"/>
      <c r="X271" s="2"/>
      <c r="Y271" s="2"/>
      <c r="Z271" s="2" t="s">
        <v>6267</v>
      </c>
      <c r="AA271" s="2" t="s">
        <v>6268</v>
      </c>
      <c r="AB271" s="2">
        <v>17</v>
      </c>
      <c r="AC271" s="2" t="s">
        <v>235</v>
      </c>
      <c r="AD271" s="2" t="s">
        <v>6269</v>
      </c>
      <c r="AE271" s="2">
        <v>331</v>
      </c>
      <c r="AF271" s="2" t="s">
        <v>141</v>
      </c>
      <c r="AG271" s="2"/>
      <c r="AH271" s="2"/>
      <c r="AI271" s="2"/>
      <c r="AJ271" s="2"/>
      <c r="AK271" s="2" t="s">
        <v>142</v>
      </c>
      <c r="AL271" s="2" t="s">
        <v>6270</v>
      </c>
      <c r="AM271" s="2" t="s">
        <v>6271</v>
      </c>
      <c r="AN271" s="2" t="s">
        <v>6272</v>
      </c>
      <c r="AO271" s="2" t="s">
        <v>6273</v>
      </c>
      <c r="AP271" s="2">
        <v>370225000</v>
      </c>
      <c r="AQ271" s="2">
        <v>370225000</v>
      </c>
      <c r="AR271" s="2" t="s">
        <v>253</v>
      </c>
      <c r="AS271" s="2">
        <v>1178024119</v>
      </c>
      <c r="AT271" s="2"/>
      <c r="AU271" s="2"/>
      <c r="AV271" s="2"/>
      <c r="AW271" s="2" t="s">
        <v>254</v>
      </c>
      <c r="AX271" s="2">
        <v>1678024119</v>
      </c>
      <c r="AY271" s="2" t="s">
        <v>6274</v>
      </c>
      <c r="AZ271" s="2" t="s">
        <v>6275</v>
      </c>
      <c r="BA271" s="2" t="s">
        <v>3565</v>
      </c>
      <c r="BB271" s="2">
        <v>0</v>
      </c>
      <c r="BC271" s="3" t="str">
        <f>HYPERLINK("https://patentscout.innography.com/share/KOb4ZlF1aoSC6iSNa1gRww%3D%3D","US11546322")</f>
        <v>US11546322</v>
      </c>
      <c r="BD271" s="2" t="s">
        <v>6276</v>
      </c>
      <c r="BE271" s="2"/>
      <c r="BF271" s="2" t="s">
        <v>6277</v>
      </c>
      <c r="BG271" s="2" t="str">
        <f>HYPERLINK("https://patentscout.innography.com/share/KOb4ZlF1aoSC6iSNa1gRww%3D%3D/download", "Download PDF")</f>
        <v>Download PDF</v>
      </c>
      <c r="BH271" s="2" t="s">
        <v>6278</v>
      </c>
      <c r="BI271" s="2"/>
      <c r="BJ271" s="2" t="s">
        <v>6274</v>
      </c>
      <c r="BK271" s="2" t="s">
        <v>6274</v>
      </c>
      <c r="BL271" s="2" t="s">
        <v>6274</v>
      </c>
      <c r="BM271" s="2"/>
      <c r="BN271" s="2"/>
      <c r="BO271" s="2"/>
      <c r="BP271" s="2"/>
      <c r="BQ271" s="2"/>
      <c r="BR271" s="2"/>
      <c r="BS271" s="2"/>
      <c r="BT271" s="2"/>
      <c r="BU271" s="2"/>
      <c r="BV271" s="2"/>
      <c r="BW271" s="2"/>
      <c r="BX271" s="2"/>
      <c r="BY271" s="2"/>
      <c r="BZ271" s="2"/>
      <c r="CA271" s="2"/>
      <c r="CB271" s="2"/>
      <c r="CC271" s="2" t="s">
        <v>259</v>
      </c>
      <c r="CD271" s="2" t="str">
        <f>HYPERLINK("https://patentscout.innography.com/share/KOb4ZlF1aoSC6iSNa1gRww%3D%3D", "Innography Link")</f>
        <v>Innography Link</v>
      </c>
      <c r="CE271" s="2"/>
      <c r="CF271" s="2"/>
      <c r="CG271" s="2"/>
      <c r="CH271" s="2"/>
      <c r="CI271" s="2"/>
      <c r="CK271" s="2" t="s">
        <v>6279</v>
      </c>
      <c r="CL271" s="2" t="s">
        <v>6280</v>
      </c>
      <c r="CM271" s="2" t="s">
        <v>6281</v>
      </c>
    </row>
    <row r="272" spans="1:94" ht="152" customHeight="1" x14ac:dyDescent="0.45">
      <c r="A272" s="2">
        <v>0</v>
      </c>
      <c r="B272" s="2">
        <v>5</v>
      </c>
      <c r="C272" s="2" t="s">
        <v>6282</v>
      </c>
      <c r="D272" s="2"/>
      <c r="E272" s="2" t="s">
        <v>6006</v>
      </c>
      <c r="F272" s="2"/>
      <c r="G272" s="2" t="s">
        <v>6006</v>
      </c>
      <c r="H272" s="2" t="s">
        <v>6283</v>
      </c>
      <c r="I272" s="2" t="s">
        <v>6283</v>
      </c>
      <c r="J272" s="2" t="s">
        <v>6284</v>
      </c>
      <c r="K272" s="2" t="s">
        <v>6006</v>
      </c>
      <c r="L272" s="2" t="s">
        <v>6006</v>
      </c>
      <c r="M272" s="2" t="s">
        <v>6285</v>
      </c>
      <c r="N272" s="2" t="s">
        <v>6286</v>
      </c>
      <c r="O272" s="2" t="s">
        <v>6287</v>
      </c>
      <c r="P272" s="2" t="s">
        <v>6288</v>
      </c>
      <c r="Q272" s="2" t="s">
        <v>6288</v>
      </c>
      <c r="R272" s="2" t="s">
        <v>6289</v>
      </c>
      <c r="S272" s="2" t="s">
        <v>6288</v>
      </c>
      <c r="T272" s="2">
        <v>74</v>
      </c>
      <c r="U272" s="2">
        <v>8</v>
      </c>
      <c r="V272" s="2" t="s">
        <v>6290</v>
      </c>
      <c r="W272" s="2"/>
      <c r="X272" s="2"/>
      <c r="Y272" s="2"/>
      <c r="Z272" s="2" t="s">
        <v>6291</v>
      </c>
      <c r="AA272" s="2" t="s">
        <v>6292</v>
      </c>
      <c r="AB272" s="2">
        <v>10</v>
      </c>
      <c r="AC272" s="2" t="s">
        <v>214</v>
      </c>
      <c r="AD272" s="2" t="s">
        <v>6293</v>
      </c>
      <c r="AE272" s="2">
        <v>161</v>
      </c>
      <c r="AF272" s="2" t="s">
        <v>141</v>
      </c>
      <c r="AG272" s="2"/>
      <c r="AH272" s="2"/>
      <c r="AI272" s="2"/>
      <c r="AJ272" s="2"/>
      <c r="AK272" s="2" t="s">
        <v>1816</v>
      </c>
      <c r="AL272" s="2" t="s">
        <v>6294</v>
      </c>
      <c r="AM272" s="2" t="s">
        <v>6295</v>
      </c>
      <c r="AN272" s="2" t="s">
        <v>6296</v>
      </c>
      <c r="AO272" s="2" t="s">
        <v>6296</v>
      </c>
      <c r="AP272" s="2">
        <v>600183000</v>
      </c>
      <c r="AQ272" s="2">
        <v>600183000</v>
      </c>
      <c r="AR272" s="2" t="s">
        <v>253</v>
      </c>
      <c r="AS272" s="2">
        <v>72671944</v>
      </c>
      <c r="AT272" s="2" t="s">
        <v>6297</v>
      </c>
      <c r="AU272" s="2"/>
      <c r="AV272" s="2"/>
      <c r="AW272" s="2" t="s">
        <v>6298</v>
      </c>
      <c r="AX272" s="2">
        <v>93029303</v>
      </c>
      <c r="AY272" s="2" t="s">
        <v>6299</v>
      </c>
      <c r="AZ272" s="2" t="s">
        <v>6300</v>
      </c>
      <c r="BA272" s="2" t="s">
        <v>6301</v>
      </c>
      <c r="BB272" s="2">
        <v>0</v>
      </c>
      <c r="BC272" s="3" t="str">
        <f>HYPERLINK("https://patentscout.innography.com/share/DzWH6mbCDcxYcBtmmFR3dg%3D%3D","CN111743521")</f>
        <v>CN111743521</v>
      </c>
      <c r="BD272" s="2" t="s">
        <v>6302</v>
      </c>
      <c r="BE272" s="2" t="s">
        <v>6303</v>
      </c>
      <c r="BF272" s="2" t="s">
        <v>6304</v>
      </c>
      <c r="BG272" s="2" t="str">
        <f>HYPERLINK("https://patentscout.innography.com/share/DzWH6mbCDcxYcBtmmFR3dg%3D%3D/download", "Download PDF")</f>
        <v>Download PDF</v>
      </c>
      <c r="BH272" s="2" t="s">
        <v>6305</v>
      </c>
      <c r="BI272" s="2"/>
      <c r="BJ272" s="2" t="s">
        <v>6299</v>
      </c>
      <c r="BK272" s="2" t="s">
        <v>6299</v>
      </c>
      <c r="BL272" s="2" t="s">
        <v>6299</v>
      </c>
      <c r="BM272" s="2"/>
      <c r="BN272" s="2"/>
      <c r="BO272" s="2"/>
      <c r="BP272" s="2"/>
      <c r="BQ272" s="2"/>
      <c r="BR272" s="2"/>
      <c r="BS272" s="2"/>
      <c r="BT272" s="2"/>
      <c r="BU272" s="2"/>
      <c r="BV272" s="2" t="s">
        <v>6306</v>
      </c>
      <c r="BW272" s="2"/>
      <c r="BX272" s="2"/>
      <c r="BY272" s="2"/>
      <c r="BZ272" s="2"/>
      <c r="CA272" s="2"/>
      <c r="CB272" s="2"/>
      <c r="CC272" s="2" t="s">
        <v>1829</v>
      </c>
      <c r="CD272" s="2" t="str">
        <f>HYPERLINK("https://patentscout.innography.com/share/DzWH6mbCDcxYcBtmmFR3dg%3D%3D", "Innography Link")</f>
        <v>Innography Link</v>
      </c>
      <c r="CE272" s="2"/>
      <c r="CF272" s="2"/>
      <c r="CG272" s="2"/>
      <c r="CH272" s="2"/>
      <c r="CI272" s="2"/>
      <c r="CK272" s="2" t="s">
        <v>6307</v>
      </c>
    </row>
    <row r="273" spans="1:98" ht="152" customHeight="1" x14ac:dyDescent="0.45">
      <c r="A273" s="2">
        <v>0</v>
      </c>
      <c r="B273" s="2">
        <v>4</v>
      </c>
      <c r="C273" s="2" t="s">
        <v>6308</v>
      </c>
      <c r="D273" s="2"/>
      <c r="E273" s="2"/>
      <c r="F273" s="2" t="s">
        <v>832</v>
      </c>
      <c r="G273" s="2" t="s">
        <v>832</v>
      </c>
      <c r="H273" s="2" t="s">
        <v>2215</v>
      </c>
      <c r="I273" s="2" t="s">
        <v>2215</v>
      </c>
      <c r="J273" s="2" t="s">
        <v>6309</v>
      </c>
      <c r="K273" s="2" t="s">
        <v>832</v>
      </c>
      <c r="L273" s="2" t="s">
        <v>832</v>
      </c>
      <c r="M273" s="2" t="s">
        <v>6310</v>
      </c>
      <c r="N273" s="2" t="s">
        <v>6311</v>
      </c>
      <c r="O273" s="2"/>
      <c r="P273" s="2" t="s">
        <v>6312</v>
      </c>
      <c r="Q273" s="2"/>
      <c r="R273" s="2"/>
      <c r="S273" s="2" t="s">
        <v>6312</v>
      </c>
      <c r="T273" s="2">
        <v>74</v>
      </c>
      <c r="U273" s="2">
        <v>6</v>
      </c>
      <c r="V273" s="2" t="s">
        <v>6313</v>
      </c>
      <c r="W273" s="2"/>
      <c r="X273" s="2"/>
      <c r="Y273" s="2"/>
      <c r="Z273" s="2" t="s">
        <v>6314</v>
      </c>
      <c r="AA273" s="2" t="s">
        <v>6315</v>
      </c>
      <c r="AB273" s="2">
        <v>10</v>
      </c>
      <c r="AC273" s="2" t="s">
        <v>235</v>
      </c>
      <c r="AD273" s="2" t="s">
        <v>6312</v>
      </c>
      <c r="AE273" s="2">
        <v>752</v>
      </c>
      <c r="AF273" s="2" t="s">
        <v>141</v>
      </c>
      <c r="AG273" s="2"/>
      <c r="AH273" s="2"/>
      <c r="AI273" s="2"/>
      <c r="AJ273" s="2"/>
      <c r="AK273" s="2" t="s">
        <v>217</v>
      </c>
      <c r="AL273" s="2" t="s">
        <v>1373</v>
      </c>
      <c r="AM273" s="2" t="s">
        <v>1373</v>
      </c>
      <c r="AN273" s="2" t="s">
        <v>539</v>
      </c>
      <c r="AO273" s="2" t="s">
        <v>6316</v>
      </c>
      <c r="AP273" s="2">
        <v>705348000</v>
      </c>
      <c r="AQ273" s="2">
        <v>705348000</v>
      </c>
      <c r="AR273" s="2" t="s">
        <v>253</v>
      </c>
      <c r="AS273" s="2">
        <v>82407366</v>
      </c>
      <c r="AT273" s="2" t="s">
        <v>6317</v>
      </c>
      <c r="AU273" s="2"/>
      <c r="AV273" s="2"/>
      <c r="AW273" s="2" t="s">
        <v>336</v>
      </c>
      <c r="AX273" s="2">
        <v>89048636</v>
      </c>
      <c r="AY273" s="2" t="s">
        <v>6318</v>
      </c>
      <c r="AZ273" s="2" t="s">
        <v>6319</v>
      </c>
      <c r="BA273" s="2" t="s">
        <v>6320</v>
      </c>
      <c r="BB273" s="2">
        <v>0</v>
      </c>
      <c r="BC273" s="3" t="str">
        <f>HYPERLINK("https://patentscout.innography.com/share/Mlr813z8H6vWCe9ZkgzYiQ%3D%3D","KR102418062")</f>
        <v>KR102418062</v>
      </c>
      <c r="BD273" s="2" t="s">
        <v>6321</v>
      </c>
      <c r="BE273" s="2" t="s">
        <v>6322</v>
      </c>
      <c r="BF273" s="2" t="s">
        <v>6323</v>
      </c>
      <c r="BG273" s="2" t="str">
        <f>HYPERLINK("https://patentscout.innography.com/share/Mlr813z8H6vWCe9ZkgzYiQ%3D%3D/download", "Download PDF")</f>
        <v>Download PDF</v>
      </c>
      <c r="BH273" s="2" t="s">
        <v>6324</v>
      </c>
      <c r="BI273" s="2"/>
      <c r="BJ273" s="2" t="s">
        <v>6325</v>
      </c>
      <c r="BK273" s="2" t="s">
        <v>6325</v>
      </c>
      <c r="BL273" s="2" t="s">
        <v>6325</v>
      </c>
      <c r="BM273" s="2"/>
      <c r="BN273" s="2"/>
      <c r="BO273" s="2"/>
      <c r="BP273" s="2"/>
      <c r="BQ273" s="2"/>
      <c r="BR273" s="2"/>
      <c r="BS273" s="2"/>
      <c r="BT273" s="2"/>
      <c r="BU273" s="2"/>
      <c r="BV273" s="2"/>
      <c r="BW273" s="2"/>
      <c r="BX273" s="2"/>
      <c r="BY273" s="2"/>
      <c r="BZ273" s="2"/>
      <c r="CA273" s="2"/>
      <c r="CB273" s="2"/>
      <c r="CC273" s="2" t="s">
        <v>243</v>
      </c>
      <c r="CD273" s="2" t="str">
        <f>HYPERLINK("https://patentscout.innography.com/share/Mlr813z8H6vWCe9ZkgzYiQ%3D%3D", "Innography Link")</f>
        <v>Innography Link</v>
      </c>
      <c r="CE273" s="2"/>
      <c r="CF273" s="2"/>
      <c r="CG273" s="2"/>
      <c r="CH273" s="2"/>
      <c r="CI273" s="2"/>
      <c r="CK273" s="2" t="s">
        <v>6326</v>
      </c>
      <c r="CL273" s="2" t="s">
        <v>780</v>
      </c>
      <c r="CM273" s="2" t="s">
        <v>444</v>
      </c>
      <c r="CN273" s="2" t="s">
        <v>602</v>
      </c>
    </row>
    <row r="274" spans="1:98" ht="152" customHeight="1" x14ac:dyDescent="0.45">
      <c r="A274" s="2">
        <v>0</v>
      </c>
      <c r="B274" s="2">
        <v>5</v>
      </c>
      <c r="C274" s="2" t="s">
        <v>6327</v>
      </c>
      <c r="D274" s="2"/>
      <c r="E274" s="2" t="s">
        <v>6176</v>
      </c>
      <c r="F274" s="2"/>
      <c r="G274" s="2" t="s">
        <v>6176</v>
      </c>
      <c r="H274" s="2" t="s">
        <v>6328</v>
      </c>
      <c r="I274" s="2" t="s">
        <v>6329</v>
      </c>
      <c r="J274" s="2" t="s">
        <v>6330</v>
      </c>
      <c r="K274" s="2" t="s">
        <v>6176</v>
      </c>
      <c r="L274" s="2" t="s">
        <v>6176</v>
      </c>
      <c r="M274" s="2" t="s">
        <v>6331</v>
      </c>
      <c r="N274" s="2" t="s">
        <v>6332</v>
      </c>
      <c r="O274" s="2"/>
      <c r="P274" s="2" t="s">
        <v>6333</v>
      </c>
      <c r="Q274" s="2" t="s">
        <v>6333</v>
      </c>
      <c r="R274" s="2" t="s">
        <v>6334</v>
      </c>
      <c r="S274" s="2" t="s">
        <v>6333</v>
      </c>
      <c r="T274" s="2">
        <v>74</v>
      </c>
      <c r="U274" s="2">
        <v>27</v>
      </c>
      <c r="V274" s="2" t="s">
        <v>6335</v>
      </c>
      <c r="W274" s="2"/>
      <c r="X274" s="2"/>
      <c r="Y274" s="2"/>
      <c r="Z274" s="2" t="s">
        <v>6336</v>
      </c>
      <c r="AA274" s="2" t="s">
        <v>6337</v>
      </c>
      <c r="AB274" s="2">
        <v>35</v>
      </c>
      <c r="AC274" s="2" t="s">
        <v>139</v>
      </c>
      <c r="AD274" s="2" t="s">
        <v>6338</v>
      </c>
      <c r="AE274" s="2">
        <v>109</v>
      </c>
      <c r="AF274" s="2" t="s">
        <v>141</v>
      </c>
      <c r="AG274" s="2" t="s">
        <v>4830</v>
      </c>
      <c r="AH274" s="2"/>
      <c r="AI274" s="2"/>
      <c r="AJ274" s="2"/>
      <c r="AK274" s="2" t="s">
        <v>619</v>
      </c>
      <c r="AL274" s="2" t="s">
        <v>6339</v>
      </c>
      <c r="AM274" s="2" t="s">
        <v>6340</v>
      </c>
      <c r="AN274" s="2" t="s">
        <v>1612</v>
      </c>
      <c r="AO274" s="2" t="s">
        <v>6341</v>
      </c>
      <c r="AP274" s="2">
        <v>340005530</v>
      </c>
      <c r="AQ274" s="2">
        <v>340005530</v>
      </c>
      <c r="AR274" s="2" t="s">
        <v>146</v>
      </c>
      <c r="AS274" s="2">
        <v>82548451</v>
      </c>
      <c r="AT274" s="2" t="s">
        <v>6342</v>
      </c>
      <c r="AU274" s="2"/>
      <c r="AV274" s="2"/>
      <c r="AW274" s="2" t="s">
        <v>624</v>
      </c>
      <c r="AX274" s="2">
        <v>90335684</v>
      </c>
      <c r="AY274" s="2" t="s">
        <v>6343</v>
      </c>
      <c r="AZ274" s="2" t="s">
        <v>6344</v>
      </c>
      <c r="BA274" s="2" t="s">
        <v>6345</v>
      </c>
      <c r="BB274" s="2">
        <v>0</v>
      </c>
      <c r="BC274" s="3" t="str">
        <f>HYPERLINK("https://patentscout.innography.com/share/r9FR_bfRrEPfI8twvtZwvg%3D%3D","WO2022159038")</f>
        <v>WO2022159038</v>
      </c>
      <c r="BD274" s="2" t="s">
        <v>6346</v>
      </c>
      <c r="BE274" s="2" t="s">
        <v>6347</v>
      </c>
      <c r="BF274" s="2" t="s">
        <v>6348</v>
      </c>
      <c r="BG274" s="2" t="str">
        <f>HYPERLINK("https://patentscout.innography.com/share/r9FR_bfRrEPfI8twvtZwvg%3D%3D/download", "Download PDF")</f>
        <v>Download PDF</v>
      </c>
      <c r="BH274" s="2" t="s">
        <v>6349</v>
      </c>
      <c r="BI274" s="2"/>
      <c r="BJ274" s="2" t="s">
        <v>6350</v>
      </c>
      <c r="BK274" s="2" t="s">
        <v>6343</v>
      </c>
      <c r="BL274" s="2" t="s">
        <v>6343</v>
      </c>
      <c r="BM274" s="2"/>
      <c r="BN274" s="2"/>
      <c r="BO274" s="2"/>
      <c r="BP274" s="2"/>
      <c r="BQ274" s="2"/>
      <c r="BR274" s="2"/>
      <c r="BS274" s="2"/>
      <c r="BT274" s="2"/>
      <c r="BU274" s="2" t="s">
        <v>6351</v>
      </c>
      <c r="BV274" s="2"/>
      <c r="BW274" s="2"/>
      <c r="BX274" s="2"/>
      <c r="BY274" s="2"/>
      <c r="BZ274" s="2"/>
      <c r="CA274" s="2"/>
      <c r="CB274" s="2"/>
      <c r="CC274" s="2" t="s">
        <v>635</v>
      </c>
      <c r="CD274" s="2" t="str">
        <f>HYPERLINK("https://patentscout.innography.com/share/r9FR_bfRrEPfI8twvtZwvg%3D%3D", "Innography Link")</f>
        <v>Innography Link</v>
      </c>
      <c r="CE274" s="2"/>
      <c r="CF274" s="2"/>
      <c r="CG274" s="2"/>
      <c r="CH274" s="2"/>
      <c r="CI274" s="2"/>
      <c r="CK274" s="2" t="s">
        <v>6352</v>
      </c>
      <c r="CL274" s="2" t="s">
        <v>6353</v>
      </c>
      <c r="CM274" s="2" t="s">
        <v>6354</v>
      </c>
      <c r="CN274" s="2" t="s">
        <v>6355</v>
      </c>
      <c r="CO274" s="2" t="s">
        <v>6356</v>
      </c>
      <c r="CP274" s="2" t="s">
        <v>6357</v>
      </c>
    </row>
    <row r="275" spans="1:98" ht="152" customHeight="1" x14ac:dyDescent="0.45">
      <c r="A275" s="2">
        <v>0</v>
      </c>
      <c r="B275" s="2">
        <v>0</v>
      </c>
      <c r="C275" s="2"/>
      <c r="D275" s="2"/>
      <c r="E275" s="2" t="s">
        <v>3344</v>
      </c>
      <c r="F275" s="2"/>
      <c r="G275" s="2" t="s">
        <v>3344</v>
      </c>
      <c r="H275" s="2" t="s">
        <v>6358</v>
      </c>
      <c r="I275" s="2" t="s">
        <v>2893</v>
      </c>
      <c r="J275" s="2" t="s">
        <v>6359</v>
      </c>
      <c r="K275" s="2" t="s">
        <v>3344</v>
      </c>
      <c r="L275" s="2" t="s">
        <v>6360</v>
      </c>
      <c r="M275" s="2" t="s">
        <v>6361</v>
      </c>
      <c r="N275" s="2" t="s">
        <v>6362</v>
      </c>
      <c r="O275" s="2"/>
      <c r="P275" s="2" t="s">
        <v>6363</v>
      </c>
      <c r="Q275" s="2" t="s">
        <v>6363</v>
      </c>
      <c r="R275" s="2" t="s">
        <v>6364</v>
      </c>
      <c r="S275" s="2" t="s">
        <v>6363</v>
      </c>
      <c r="T275" s="2">
        <v>74</v>
      </c>
      <c r="U275" s="2">
        <v>14</v>
      </c>
      <c r="V275" s="2" t="s">
        <v>6365</v>
      </c>
      <c r="W275" s="2" t="s">
        <v>533</v>
      </c>
      <c r="X275" s="2"/>
      <c r="Y275" s="2"/>
      <c r="Z275" s="2" t="s">
        <v>6366</v>
      </c>
      <c r="AA275" s="2" t="s">
        <v>6367</v>
      </c>
      <c r="AB275" s="2">
        <v>20</v>
      </c>
      <c r="AC275" s="2" t="s">
        <v>139</v>
      </c>
      <c r="AD275" s="2" t="s">
        <v>6368</v>
      </c>
      <c r="AE275" s="2">
        <v>100</v>
      </c>
      <c r="AF275" s="2" t="s">
        <v>141</v>
      </c>
      <c r="AG275" s="2"/>
      <c r="AH275" s="2"/>
      <c r="AI275" s="2"/>
      <c r="AJ275" s="2"/>
      <c r="AK275" s="2" t="s">
        <v>142</v>
      </c>
      <c r="AL275" s="2" t="s">
        <v>6369</v>
      </c>
      <c r="AM275" s="2" t="s">
        <v>6370</v>
      </c>
      <c r="AN275" s="2" t="s">
        <v>1349</v>
      </c>
      <c r="AO275" s="2" t="s">
        <v>1349</v>
      </c>
      <c r="AP275" s="2">
        <v>705348000</v>
      </c>
      <c r="AQ275" s="2">
        <v>705348000</v>
      </c>
      <c r="AR275" s="2" t="s">
        <v>541</v>
      </c>
      <c r="AS275" s="2">
        <v>82801310</v>
      </c>
      <c r="AT275" s="2" t="s">
        <v>6371</v>
      </c>
      <c r="AU275" s="2"/>
      <c r="AV275" s="2"/>
      <c r="AW275" s="2" t="s">
        <v>148</v>
      </c>
      <c r="AX275" s="2">
        <v>74616718</v>
      </c>
      <c r="AY275" s="2" t="s">
        <v>6372</v>
      </c>
      <c r="AZ275" s="2" t="s">
        <v>6373</v>
      </c>
      <c r="BA275" s="2" t="s">
        <v>6374</v>
      </c>
      <c r="BB275" s="2">
        <v>0</v>
      </c>
      <c r="BC275" s="3" t="str">
        <f>HYPERLINK("https://patentscout.innography.com/share/C3dSR9TA67ykFD-tWioLDw%3D%3D","US20220261863")</f>
        <v>US20220261863</v>
      </c>
      <c r="BD275" s="2" t="s">
        <v>6375</v>
      </c>
      <c r="BE275" s="2" t="s">
        <v>6376</v>
      </c>
      <c r="BF275" s="2" t="s">
        <v>6377</v>
      </c>
      <c r="BG275" s="2" t="str">
        <f>HYPERLINK("https://patentscout.innography.com/share/C3dSR9TA67ykFD-tWioLDw%3D%3D/download", "Download PDF")</f>
        <v>Download PDF</v>
      </c>
      <c r="BH275" s="2" t="s">
        <v>6378</v>
      </c>
      <c r="BI275" s="2"/>
      <c r="BJ275" s="2" t="s">
        <v>6379</v>
      </c>
      <c r="BK275" s="2" t="s">
        <v>6379</v>
      </c>
      <c r="BL275" s="2" t="s">
        <v>6380</v>
      </c>
      <c r="BM275" s="2"/>
      <c r="BN275" s="2"/>
      <c r="BO275" s="2"/>
      <c r="BP275" s="2"/>
      <c r="BQ275" s="2"/>
      <c r="BR275" s="2"/>
      <c r="BS275" s="2"/>
      <c r="BT275" s="2"/>
      <c r="BU275" s="2"/>
      <c r="BV275" s="2"/>
      <c r="BW275" s="2"/>
      <c r="BX275" s="2"/>
      <c r="BY275" s="2"/>
      <c r="BZ275" s="2"/>
      <c r="CA275" s="2"/>
      <c r="CB275" s="2"/>
      <c r="CC275" s="2" t="s">
        <v>158</v>
      </c>
      <c r="CD275" s="2" t="str">
        <f>HYPERLINK("https://patentscout.innography.com/share/C3dSR9TA67ykFD-tWioLDw%3D%3D", "Innography Link")</f>
        <v>Innography Link</v>
      </c>
      <c r="CE275" s="2"/>
      <c r="CF275" s="2"/>
      <c r="CG275" s="2"/>
      <c r="CH275" s="2"/>
      <c r="CI275" s="2"/>
      <c r="CK275" s="2" t="s">
        <v>6381</v>
      </c>
      <c r="CL275" s="2" t="s">
        <v>6382</v>
      </c>
      <c r="CM275" s="2" t="s">
        <v>6383</v>
      </c>
    </row>
    <row r="276" spans="1:98" ht="152" customHeight="1" x14ac:dyDescent="0.45">
      <c r="A276" s="2">
        <v>0</v>
      </c>
      <c r="B276" s="2">
        <v>1</v>
      </c>
      <c r="C276" s="2" t="s">
        <v>6384</v>
      </c>
      <c r="D276" s="2"/>
      <c r="E276" s="2"/>
      <c r="F276" s="2" t="s">
        <v>2714</v>
      </c>
      <c r="G276" s="2" t="s">
        <v>2714</v>
      </c>
      <c r="H276" s="2" t="s">
        <v>5168</v>
      </c>
      <c r="I276" s="2" t="s">
        <v>5168</v>
      </c>
      <c r="J276" s="2" t="s">
        <v>5169</v>
      </c>
      <c r="K276" s="2" t="s">
        <v>2714</v>
      </c>
      <c r="L276" s="2" t="s">
        <v>2714</v>
      </c>
      <c r="M276" s="2" t="s">
        <v>6385</v>
      </c>
      <c r="N276" s="2" t="s">
        <v>6386</v>
      </c>
      <c r="O276" s="2" t="s">
        <v>6387</v>
      </c>
      <c r="P276" s="2" t="s">
        <v>6388</v>
      </c>
      <c r="Q276" s="2"/>
      <c r="R276" s="2"/>
      <c r="S276" s="2" t="s">
        <v>6388</v>
      </c>
      <c r="T276" s="2">
        <v>74</v>
      </c>
      <c r="U276" s="2">
        <v>5</v>
      </c>
      <c r="V276" s="2" t="s">
        <v>6389</v>
      </c>
      <c r="W276" s="2"/>
      <c r="X276" s="2"/>
      <c r="Y276" s="2"/>
      <c r="Z276" s="2" t="s">
        <v>6390</v>
      </c>
      <c r="AA276" s="2" t="s">
        <v>6391</v>
      </c>
      <c r="AB276" s="2">
        <v>10</v>
      </c>
      <c r="AC276" s="2" t="s">
        <v>235</v>
      </c>
      <c r="AD276" s="2" t="s">
        <v>6388</v>
      </c>
      <c r="AE276" s="2">
        <v>407</v>
      </c>
      <c r="AF276" s="2" t="s">
        <v>141</v>
      </c>
      <c r="AG276" s="2"/>
      <c r="AH276" s="2"/>
      <c r="AI276" s="2"/>
      <c r="AJ276" s="2"/>
      <c r="AK276" s="2" t="s">
        <v>217</v>
      </c>
      <c r="AL276" s="2" t="s">
        <v>588</v>
      </c>
      <c r="AM276" s="2" t="s">
        <v>588</v>
      </c>
      <c r="AN276" s="2" t="s">
        <v>589</v>
      </c>
      <c r="AO276" s="2" t="s">
        <v>6392</v>
      </c>
      <c r="AP276" s="2">
        <v>705348000</v>
      </c>
      <c r="AQ276" s="2">
        <v>705348000</v>
      </c>
      <c r="AR276" s="2" t="s">
        <v>253</v>
      </c>
      <c r="AS276" s="2">
        <v>83803100</v>
      </c>
      <c r="AT276" s="2" t="s">
        <v>6393</v>
      </c>
      <c r="AU276" s="2"/>
      <c r="AV276" s="2"/>
      <c r="AW276" s="2" t="s">
        <v>336</v>
      </c>
      <c r="AX276" s="2">
        <v>92243977</v>
      </c>
      <c r="AY276" s="2" t="s">
        <v>6394</v>
      </c>
      <c r="AZ276" s="2" t="s">
        <v>6395</v>
      </c>
      <c r="BA276" s="2" t="s">
        <v>5182</v>
      </c>
      <c r="BB276" s="2">
        <v>0</v>
      </c>
      <c r="BC276" s="3" t="str">
        <f>HYPERLINK("https://patentscout.innography.com/share/OfS7FbUTjtFr5S0Wjk1pCA%3D%3D","KR102460209")</f>
        <v>KR102460209</v>
      </c>
      <c r="BD276" s="2" t="s">
        <v>6396</v>
      </c>
      <c r="BE276" s="2" t="s">
        <v>6397</v>
      </c>
      <c r="BF276" s="2" t="s">
        <v>6398</v>
      </c>
      <c r="BG276" s="2" t="str">
        <f>HYPERLINK("https://patentscout.innography.com/share/OfS7FbUTjtFr5S0Wjk1pCA%3D%3D/download", "Download PDF")</f>
        <v>Download PDF</v>
      </c>
      <c r="BH276" s="2" t="s">
        <v>6399</v>
      </c>
      <c r="BI276" s="2"/>
      <c r="BJ276" s="2" t="s">
        <v>6400</v>
      </c>
      <c r="BK276" s="2" t="s">
        <v>6400</v>
      </c>
      <c r="BL276" s="2" t="s">
        <v>6400</v>
      </c>
      <c r="BM276" s="2"/>
      <c r="BN276" s="2"/>
      <c r="BO276" s="2"/>
      <c r="BP276" s="2"/>
      <c r="BQ276" s="2"/>
      <c r="BR276" s="2"/>
      <c r="BS276" s="2"/>
      <c r="BT276" s="2"/>
      <c r="BU276" s="2"/>
      <c r="BV276" s="2"/>
      <c r="BW276" s="2"/>
      <c r="BX276" s="2"/>
      <c r="BY276" s="2"/>
      <c r="BZ276" s="2"/>
      <c r="CA276" s="2"/>
      <c r="CB276" s="2"/>
      <c r="CC276" s="2" t="s">
        <v>243</v>
      </c>
      <c r="CD276" s="2" t="str">
        <f>HYPERLINK("https://patentscout.innography.com/share/OfS7FbUTjtFr5S0Wjk1pCA%3D%3D", "Innography Link")</f>
        <v>Innography Link</v>
      </c>
      <c r="CE276" s="2"/>
      <c r="CF276" s="2"/>
      <c r="CG276" s="2"/>
      <c r="CH276" s="2"/>
      <c r="CI276" s="2"/>
      <c r="CK276" s="2" t="s">
        <v>6401</v>
      </c>
      <c r="CL276" s="2" t="s">
        <v>780</v>
      </c>
      <c r="CM276" s="2" t="s">
        <v>444</v>
      </c>
      <c r="CN276" s="2" t="s">
        <v>371</v>
      </c>
      <c r="CO276" s="2" t="s">
        <v>497</v>
      </c>
      <c r="CP276" s="2" t="s">
        <v>601</v>
      </c>
      <c r="CQ276" s="2" t="s">
        <v>854</v>
      </c>
      <c r="CR276" s="2" t="s">
        <v>602</v>
      </c>
      <c r="CS276" s="2" t="s">
        <v>372</v>
      </c>
      <c r="CT276" s="2" t="s">
        <v>782</v>
      </c>
    </row>
    <row r="277" spans="1:98" ht="152" customHeight="1" x14ac:dyDescent="0.45">
      <c r="A277" s="2">
        <v>0</v>
      </c>
      <c r="B277" s="2">
        <v>0</v>
      </c>
      <c r="C277" s="2"/>
      <c r="D277" s="2"/>
      <c r="E277" s="2" t="s">
        <v>5821</v>
      </c>
      <c r="F277" s="2"/>
      <c r="G277" s="2" t="s">
        <v>5821</v>
      </c>
      <c r="H277" s="2" t="s">
        <v>3262</v>
      </c>
      <c r="I277" s="2" t="s">
        <v>6402</v>
      </c>
      <c r="J277" s="2" t="s">
        <v>6403</v>
      </c>
      <c r="K277" s="2" t="s">
        <v>5821</v>
      </c>
      <c r="L277" s="2" t="s">
        <v>5821</v>
      </c>
      <c r="M277" s="2" t="s">
        <v>6404</v>
      </c>
      <c r="N277" s="2" t="s">
        <v>6405</v>
      </c>
      <c r="O277" s="2"/>
      <c r="P277" s="2" t="s">
        <v>6406</v>
      </c>
      <c r="Q277" s="2" t="s">
        <v>6406</v>
      </c>
      <c r="R277" s="2" t="s">
        <v>6407</v>
      </c>
      <c r="S277" s="2" t="s">
        <v>6406</v>
      </c>
      <c r="T277" s="2">
        <v>74</v>
      </c>
      <c r="U277" s="2">
        <v>25</v>
      </c>
      <c r="V277" s="2" t="s">
        <v>6408</v>
      </c>
      <c r="W277" s="2"/>
      <c r="X277" s="2"/>
      <c r="Y277" s="2"/>
      <c r="Z277" s="2" t="s">
        <v>6409</v>
      </c>
      <c r="AA277" s="2" t="s">
        <v>6410</v>
      </c>
      <c r="AB277" s="2">
        <v>27</v>
      </c>
      <c r="AC277" s="2" t="s">
        <v>615</v>
      </c>
      <c r="AD277" s="2" t="s">
        <v>6411</v>
      </c>
      <c r="AE277" s="2">
        <v>77</v>
      </c>
      <c r="AF277" s="2" t="s">
        <v>141</v>
      </c>
      <c r="AG277" s="2" t="s">
        <v>5830</v>
      </c>
      <c r="AH277" s="2"/>
      <c r="AI277" s="2"/>
      <c r="AJ277" s="2"/>
      <c r="AK277" s="2" t="s">
        <v>619</v>
      </c>
      <c r="AL277" s="2" t="s">
        <v>2546</v>
      </c>
      <c r="AM277" s="2" t="s">
        <v>6412</v>
      </c>
      <c r="AN277" s="2" t="s">
        <v>3793</v>
      </c>
      <c r="AO277" s="2" t="s">
        <v>3793</v>
      </c>
      <c r="AP277" s="2"/>
      <c r="AQ277" s="2"/>
      <c r="AR277" s="2" t="s">
        <v>146</v>
      </c>
      <c r="AS277" s="2">
        <v>84141968</v>
      </c>
      <c r="AT277" s="2" t="s">
        <v>6413</v>
      </c>
      <c r="AU277" s="2"/>
      <c r="AV277" s="2"/>
      <c r="AW277" s="2" t="s">
        <v>624</v>
      </c>
      <c r="AX277" s="2">
        <v>92588702</v>
      </c>
      <c r="AY277" s="2" t="s">
        <v>6414</v>
      </c>
      <c r="AZ277" s="2" t="s">
        <v>6415</v>
      </c>
      <c r="BA277" s="2" t="s">
        <v>6416</v>
      </c>
      <c r="BB277" s="2">
        <v>0</v>
      </c>
      <c r="BC277" s="3" t="str">
        <f>HYPERLINK("https://patentscout.innography.com/share/O2qcEYbmheE1jLnD1bUOyA%3D%3D","WO2022243972")</f>
        <v>WO2022243972</v>
      </c>
      <c r="BD277" s="2" t="s">
        <v>6417</v>
      </c>
      <c r="BE277" s="2"/>
      <c r="BF277" s="2" t="s">
        <v>6418</v>
      </c>
      <c r="BG277" s="2" t="str">
        <f>HYPERLINK("https://patentscout.innography.com/share/O2qcEYbmheE1jLnD1bUOyA%3D%3D/download", "Download PDF")</f>
        <v>Download PDF</v>
      </c>
      <c r="BH277" s="2" t="s">
        <v>6419</v>
      </c>
      <c r="BI277" s="2"/>
      <c r="BJ277" s="2" t="s">
        <v>6420</v>
      </c>
      <c r="BK277" s="2" t="s">
        <v>6414</v>
      </c>
      <c r="BL277" s="2" t="s">
        <v>6414</v>
      </c>
      <c r="BM277" s="2"/>
      <c r="BN277" s="2"/>
      <c r="BO277" s="2"/>
      <c r="BP277" s="2"/>
      <c r="BQ277" s="2"/>
      <c r="BR277" s="2"/>
      <c r="BS277" s="2"/>
      <c r="BT277" s="2"/>
      <c r="BU277" s="2"/>
      <c r="BV277" s="2"/>
      <c r="BW277" s="2"/>
      <c r="BX277" s="2"/>
      <c r="BY277" s="2"/>
      <c r="BZ277" s="2"/>
      <c r="CA277" s="2"/>
      <c r="CB277" s="2"/>
      <c r="CC277" s="2" t="s">
        <v>635</v>
      </c>
      <c r="CD277" s="2" t="str">
        <f>HYPERLINK("https://patentscout.innography.com/share/O2qcEYbmheE1jLnD1bUOyA%3D%3D", "Innography Link")</f>
        <v>Innography Link</v>
      </c>
      <c r="CE277" s="2"/>
      <c r="CF277" s="2"/>
      <c r="CG277" s="2"/>
      <c r="CH277" s="2"/>
      <c r="CI277" s="2"/>
      <c r="CK277" s="2" t="s">
        <v>5841</v>
      </c>
      <c r="CL277" s="2" t="s">
        <v>6421</v>
      </c>
      <c r="CM277" s="2" t="s">
        <v>6422</v>
      </c>
      <c r="CN277" s="2" t="s">
        <v>6423</v>
      </c>
    </row>
    <row r="278" spans="1:98" ht="152" customHeight="1" x14ac:dyDescent="0.45">
      <c r="A278" s="2">
        <v>0</v>
      </c>
      <c r="B278" s="2">
        <v>0</v>
      </c>
      <c r="C278" s="2"/>
      <c r="D278" s="2"/>
      <c r="E278" s="2"/>
      <c r="F278" s="2" t="s">
        <v>6424</v>
      </c>
      <c r="G278" s="2" t="s">
        <v>6424</v>
      </c>
      <c r="H278" s="2" t="s">
        <v>6425</v>
      </c>
      <c r="I278" s="2" t="s">
        <v>6425</v>
      </c>
      <c r="J278" s="2" t="s">
        <v>6426</v>
      </c>
      <c r="K278" s="2" t="s">
        <v>6424</v>
      </c>
      <c r="L278" s="2" t="s">
        <v>6424</v>
      </c>
      <c r="M278" s="2" t="s">
        <v>6427</v>
      </c>
      <c r="N278" s="2" t="s">
        <v>6428</v>
      </c>
      <c r="O278" s="2"/>
      <c r="P278" s="2"/>
      <c r="Q278" s="2"/>
      <c r="R278" s="2"/>
      <c r="S278" s="2"/>
      <c r="T278" s="2">
        <v>74</v>
      </c>
      <c r="U278" s="2">
        <v>4</v>
      </c>
      <c r="V278" s="2" t="s">
        <v>6429</v>
      </c>
      <c r="W278" s="2"/>
      <c r="X278" s="2"/>
      <c r="Y278" s="2"/>
      <c r="Z278" s="2" t="s">
        <v>6430</v>
      </c>
      <c r="AA278" s="2" t="s">
        <v>6430</v>
      </c>
      <c r="AB278" s="2">
        <v>1</v>
      </c>
      <c r="AC278" s="2" t="s">
        <v>2543</v>
      </c>
      <c r="AD278" s="2"/>
      <c r="AE278" s="2">
        <v>60</v>
      </c>
      <c r="AF278" s="2" t="s">
        <v>180</v>
      </c>
      <c r="AG278" s="2"/>
      <c r="AH278" s="2"/>
      <c r="AI278" s="2"/>
      <c r="AJ278" s="2"/>
      <c r="AK278" s="2" t="s">
        <v>1108</v>
      </c>
      <c r="AL278" s="2" t="s">
        <v>1034</v>
      </c>
      <c r="AM278" s="2" t="s">
        <v>1034</v>
      </c>
      <c r="AN278" s="2" t="s">
        <v>1035</v>
      </c>
      <c r="AO278" s="2" t="s">
        <v>6431</v>
      </c>
      <c r="AP278" s="2">
        <v>715701000</v>
      </c>
      <c r="AQ278" s="2">
        <v>715701000</v>
      </c>
      <c r="AR278" s="2" t="s">
        <v>253</v>
      </c>
      <c r="AS278" s="2">
        <v>54855193</v>
      </c>
      <c r="AT278" s="2" t="s">
        <v>6432</v>
      </c>
      <c r="AU278" s="2"/>
      <c r="AV278" s="2"/>
      <c r="AW278" s="2" t="s">
        <v>6433</v>
      </c>
      <c r="AX278" s="2">
        <v>47878122</v>
      </c>
      <c r="AY278" s="2" t="s">
        <v>6434</v>
      </c>
      <c r="AZ278" s="2" t="s">
        <v>6435</v>
      </c>
      <c r="BA278" s="2" t="s">
        <v>6436</v>
      </c>
      <c r="BB278" s="2">
        <v>0</v>
      </c>
      <c r="BC278" s="3" t="str">
        <f>HYPERLINK("https://patentscout.innography.com/share/x8GYeea6O8WCh44UOcxq6A%3D%3D","JP3150731")</f>
        <v>JP3150731</v>
      </c>
      <c r="BD278" s="2" t="s">
        <v>6437</v>
      </c>
      <c r="BE278" s="2" t="s">
        <v>6438</v>
      </c>
      <c r="BF278" s="2" t="s">
        <v>6439</v>
      </c>
      <c r="BG278" s="2" t="str">
        <f>HYPERLINK("https://patentscout.innography.com/share/x8GYeea6O8WCh44UOcxq6A%3D%3D/download", "Download PDF")</f>
        <v>Download PDF</v>
      </c>
      <c r="BH278" s="2" t="s">
        <v>6440</v>
      </c>
      <c r="BI278" s="2"/>
      <c r="BJ278" s="2" t="s">
        <v>6441</v>
      </c>
      <c r="BK278" s="2" t="s">
        <v>6442</v>
      </c>
      <c r="BL278" s="2" t="s">
        <v>6442</v>
      </c>
      <c r="BM278" s="2"/>
      <c r="BN278" s="2"/>
      <c r="BO278" s="2"/>
      <c r="BP278" s="2"/>
      <c r="BQ278" s="2"/>
      <c r="BR278" s="2"/>
      <c r="BS278" s="2"/>
      <c r="BT278" s="2"/>
      <c r="BU278" s="2"/>
      <c r="BV278" s="2"/>
      <c r="BW278" s="2"/>
      <c r="BX278" s="2"/>
      <c r="BY278" s="2"/>
      <c r="BZ278" s="2"/>
      <c r="CA278" s="2"/>
      <c r="CB278" s="2"/>
      <c r="CC278" s="2" t="s">
        <v>1971</v>
      </c>
      <c r="CD278" s="2" t="str">
        <f>HYPERLINK("https://patentscout.innography.com/share/x8GYeea6O8WCh44UOcxq6A%3D%3D", "Innography Link")</f>
        <v>Innography Link</v>
      </c>
      <c r="CE278" s="2"/>
      <c r="CF278" s="2"/>
      <c r="CG278" s="2"/>
      <c r="CH278" s="2"/>
      <c r="CI278" s="2"/>
      <c r="CK278" s="2" t="s">
        <v>6443</v>
      </c>
    </row>
    <row r="279" spans="1:98" ht="152" customHeight="1" x14ac:dyDescent="0.45">
      <c r="A279" s="2">
        <v>0</v>
      </c>
      <c r="B279" s="2">
        <v>0</v>
      </c>
      <c r="C279" s="2"/>
      <c r="D279" s="2"/>
      <c r="E279" s="2" t="s">
        <v>6444</v>
      </c>
      <c r="F279" s="2" t="s">
        <v>6445</v>
      </c>
      <c r="G279" s="2" t="s">
        <v>6445</v>
      </c>
      <c r="H279" s="2" t="s">
        <v>4246</v>
      </c>
      <c r="I279" s="2" t="s">
        <v>6446</v>
      </c>
      <c r="J279" s="2" t="s">
        <v>6447</v>
      </c>
      <c r="K279" s="2" t="s">
        <v>6448</v>
      </c>
      <c r="L279" s="2" t="s">
        <v>6448</v>
      </c>
      <c r="M279" s="2" t="s">
        <v>6449</v>
      </c>
      <c r="N279" s="2" t="s">
        <v>6450</v>
      </c>
      <c r="O279" s="2"/>
      <c r="P279" s="2"/>
      <c r="Q279" s="2" t="s">
        <v>4194</v>
      </c>
      <c r="R279" s="2" t="s">
        <v>4195</v>
      </c>
      <c r="S279" s="2"/>
      <c r="T279" s="2">
        <v>74</v>
      </c>
      <c r="U279" s="2">
        <v>20</v>
      </c>
      <c r="V279" s="2" t="s">
        <v>6451</v>
      </c>
      <c r="W279" s="2"/>
      <c r="X279" s="2"/>
      <c r="Y279" s="2"/>
      <c r="Z279" s="2" t="s">
        <v>6452</v>
      </c>
      <c r="AA279" s="2" t="s">
        <v>6453</v>
      </c>
      <c r="AB279" s="2">
        <v>10</v>
      </c>
      <c r="AC279" s="2" t="s">
        <v>3878</v>
      </c>
      <c r="AD279" s="2" t="s">
        <v>6454</v>
      </c>
      <c r="AE279" s="2">
        <v>205</v>
      </c>
      <c r="AF279" s="2" t="s">
        <v>141</v>
      </c>
      <c r="AG279" s="2"/>
      <c r="AH279" s="2"/>
      <c r="AI279" s="2" t="s">
        <v>6455</v>
      </c>
      <c r="AJ279" s="2"/>
      <c r="AK279" s="2" t="s">
        <v>1816</v>
      </c>
      <c r="AL279" s="2" t="s">
        <v>6456</v>
      </c>
      <c r="AM279" s="2" t="s">
        <v>6457</v>
      </c>
      <c r="AN279" s="2" t="s">
        <v>6458</v>
      </c>
      <c r="AO279" s="2" t="s">
        <v>6459</v>
      </c>
      <c r="AP279" s="2">
        <v>273297000</v>
      </c>
      <c r="AQ279" s="2">
        <v>273297000</v>
      </c>
      <c r="AR279" s="2" t="s">
        <v>146</v>
      </c>
      <c r="AS279" s="2">
        <v>62020381</v>
      </c>
      <c r="AT279" s="2" t="s">
        <v>6460</v>
      </c>
      <c r="AU279" s="2"/>
      <c r="AV279" s="2"/>
      <c r="AW279" s="2" t="s">
        <v>6461</v>
      </c>
      <c r="AX279" s="2">
        <v>57518384</v>
      </c>
      <c r="AY279" s="2" t="s">
        <v>6462</v>
      </c>
      <c r="AZ279" s="2" t="s">
        <v>6463</v>
      </c>
      <c r="BA279" s="2" t="s">
        <v>6464</v>
      </c>
      <c r="BB279" s="2">
        <v>0</v>
      </c>
      <c r="BC279" s="3" t="str">
        <f>HYPERLINK("https://patentscout.innography.com/share/GL3sFcyswwZE4mCDEeaVgg%3D%3D","CN108014492")</f>
        <v>CN108014492</v>
      </c>
      <c r="BD279" s="2" t="s">
        <v>6465</v>
      </c>
      <c r="BE279" s="2" t="s">
        <v>6466</v>
      </c>
      <c r="BF279" s="2" t="s">
        <v>6467</v>
      </c>
      <c r="BG279" s="2" t="str">
        <f>HYPERLINK("https://patentscout.innography.com/share/GL3sFcyswwZE4mCDEeaVgg%3D%3D/download", "Download PDF")</f>
        <v>Download PDF</v>
      </c>
      <c r="BH279" s="2" t="s">
        <v>6468</v>
      </c>
      <c r="BI279" s="2"/>
      <c r="BJ279" s="2" t="s">
        <v>6455</v>
      </c>
      <c r="BK279" s="2" t="s">
        <v>6469</v>
      </c>
      <c r="BL279" s="2" t="s">
        <v>6469</v>
      </c>
      <c r="BM279" s="2"/>
      <c r="BN279" s="2"/>
      <c r="BO279" s="2"/>
      <c r="BP279" s="2"/>
      <c r="BQ279" s="2"/>
      <c r="BR279" s="2"/>
      <c r="BS279" s="2"/>
      <c r="BT279" s="2"/>
      <c r="BU279" s="2"/>
      <c r="BV279" s="2" t="s">
        <v>4600</v>
      </c>
      <c r="BW279" s="2"/>
      <c r="BX279" s="2"/>
      <c r="BY279" s="2"/>
      <c r="BZ279" s="2"/>
      <c r="CA279" s="2"/>
      <c r="CB279" s="2"/>
      <c r="CC279" s="2" t="s">
        <v>3884</v>
      </c>
      <c r="CD279" s="2" t="str">
        <f>HYPERLINK("https://patentscout.innography.com/share/GL3sFcyswwZE4mCDEeaVgg%3D%3D", "Innography Link")</f>
        <v>Innography Link</v>
      </c>
      <c r="CE279" s="2"/>
      <c r="CF279" s="2"/>
      <c r="CG279" s="2"/>
      <c r="CH279" s="2"/>
      <c r="CI279" s="2"/>
      <c r="CK279" s="2" t="s">
        <v>6470</v>
      </c>
      <c r="CL279" s="2" t="s">
        <v>6471</v>
      </c>
    </row>
    <row r="280" spans="1:98" ht="152" customHeight="1" x14ac:dyDescent="0.45">
      <c r="A280" s="2">
        <v>0</v>
      </c>
      <c r="B280" s="2">
        <v>0</v>
      </c>
      <c r="C280" s="2"/>
      <c r="D280" s="2"/>
      <c r="E280" s="2" t="s">
        <v>4693</v>
      </c>
      <c r="F280" s="2" t="s">
        <v>6472</v>
      </c>
      <c r="G280" s="2" t="s">
        <v>6472</v>
      </c>
      <c r="H280" s="2" t="s">
        <v>4695</v>
      </c>
      <c r="I280" s="2" t="s">
        <v>5664</v>
      </c>
      <c r="J280" s="2" t="s">
        <v>6473</v>
      </c>
      <c r="K280" s="2" t="s">
        <v>6474</v>
      </c>
      <c r="L280" s="2" t="s">
        <v>6474</v>
      </c>
      <c r="M280" s="2" t="s">
        <v>6475</v>
      </c>
      <c r="N280" s="2" t="s">
        <v>6476</v>
      </c>
      <c r="O280" s="2" t="s">
        <v>6477</v>
      </c>
      <c r="P280" s="2"/>
      <c r="Q280" s="2" t="s">
        <v>4194</v>
      </c>
      <c r="R280" s="2" t="s">
        <v>4195</v>
      </c>
      <c r="S280" s="2"/>
      <c r="T280" s="2">
        <v>74</v>
      </c>
      <c r="U280" s="2">
        <v>22</v>
      </c>
      <c r="V280" s="2" t="s">
        <v>6478</v>
      </c>
      <c r="W280" s="2"/>
      <c r="X280" s="2"/>
      <c r="Y280" s="2"/>
      <c r="Z280" s="2" t="s">
        <v>6479</v>
      </c>
      <c r="AA280" s="2" t="s">
        <v>6480</v>
      </c>
      <c r="AB280" s="2">
        <v>13</v>
      </c>
      <c r="AC280" s="2" t="s">
        <v>3878</v>
      </c>
      <c r="AD280" s="2" t="s">
        <v>6481</v>
      </c>
      <c r="AE280" s="2">
        <v>140</v>
      </c>
      <c r="AF280" s="2" t="s">
        <v>141</v>
      </c>
      <c r="AG280" s="2"/>
      <c r="AH280" s="2"/>
      <c r="AI280" s="2" t="s">
        <v>6482</v>
      </c>
      <c r="AJ280" s="2"/>
      <c r="AK280" s="2" t="s">
        <v>1816</v>
      </c>
      <c r="AL280" s="2" t="s">
        <v>271</v>
      </c>
      <c r="AM280" s="2" t="s">
        <v>6483</v>
      </c>
      <c r="AN280" s="2" t="s">
        <v>1035</v>
      </c>
      <c r="AO280" s="2" t="s">
        <v>6484</v>
      </c>
      <c r="AP280" s="2">
        <v>715701000</v>
      </c>
      <c r="AQ280" s="2">
        <v>715701000</v>
      </c>
      <c r="AR280" s="2" t="s">
        <v>146</v>
      </c>
      <c r="AS280" s="2">
        <v>63581196</v>
      </c>
      <c r="AT280" s="2" t="s">
        <v>6485</v>
      </c>
      <c r="AU280" s="2"/>
      <c r="AV280" s="2"/>
      <c r="AW280" s="2" t="s">
        <v>3879</v>
      </c>
      <c r="AX280" s="2">
        <v>91365217</v>
      </c>
      <c r="AY280" s="2" t="s">
        <v>6486</v>
      </c>
      <c r="AZ280" s="2" t="s">
        <v>6487</v>
      </c>
      <c r="BA280" s="2" t="s">
        <v>6488</v>
      </c>
      <c r="BB280" s="2">
        <v>0</v>
      </c>
      <c r="BC280" s="3" t="str">
        <f>HYPERLINK("https://patentscout.innography.com/share/PEI-A92GzivHG5TPfmRtUQ%3D%3D","CN108628436")</f>
        <v>CN108628436</v>
      </c>
      <c r="BD280" s="2" t="s">
        <v>6489</v>
      </c>
      <c r="BE280" s="2" t="s">
        <v>6490</v>
      </c>
      <c r="BF280" s="2" t="s">
        <v>6491</v>
      </c>
      <c r="BG280" s="2" t="str">
        <f>HYPERLINK("https://patentscout.innography.com/share/PEI-A92GzivHG5TPfmRtUQ%3D%3D/download", "Download PDF")</f>
        <v>Download PDF</v>
      </c>
      <c r="BH280" s="2" t="s">
        <v>6492</v>
      </c>
      <c r="BI280" s="2"/>
      <c r="BJ280" s="2" t="s">
        <v>6493</v>
      </c>
      <c r="BK280" s="2" t="s">
        <v>6494</v>
      </c>
      <c r="BL280" s="2" t="s">
        <v>6494</v>
      </c>
      <c r="BM280" s="2"/>
      <c r="BN280" s="2"/>
      <c r="BO280" s="2"/>
      <c r="BP280" s="2"/>
      <c r="BQ280" s="2"/>
      <c r="BR280" s="2"/>
      <c r="BS280" s="2"/>
      <c r="BT280" s="2"/>
      <c r="BU280" s="2"/>
      <c r="BV280" s="2" t="s">
        <v>4212</v>
      </c>
      <c r="BW280" s="2"/>
      <c r="BX280" s="2"/>
      <c r="BY280" s="2"/>
      <c r="BZ280" s="2"/>
      <c r="CA280" s="2"/>
      <c r="CB280" s="2"/>
      <c r="CC280" s="2" t="s">
        <v>3884</v>
      </c>
      <c r="CD280" s="2" t="str">
        <f>HYPERLINK("https://patentscout.innography.com/share/PEI-A92GzivHG5TPfmRtUQ%3D%3D", "Innography Link")</f>
        <v>Innography Link</v>
      </c>
      <c r="CE280" s="2"/>
      <c r="CF280" s="2"/>
      <c r="CG280" s="2"/>
      <c r="CH280" s="2"/>
      <c r="CI280" s="2"/>
      <c r="CK280" s="2" t="s">
        <v>6495</v>
      </c>
      <c r="CL280" s="2" t="s">
        <v>6496</v>
      </c>
      <c r="CM280" s="2" t="s">
        <v>6497</v>
      </c>
    </row>
    <row r="281" spans="1:98" ht="152" customHeight="1" x14ac:dyDescent="0.45">
      <c r="A281" s="2">
        <v>0</v>
      </c>
      <c r="B281" s="2">
        <v>0</v>
      </c>
      <c r="C281" s="2"/>
      <c r="D281" s="2"/>
      <c r="E281" s="2" t="s">
        <v>6498</v>
      </c>
      <c r="F281" s="2"/>
      <c r="G281" s="2" t="s">
        <v>6498</v>
      </c>
      <c r="H281" s="2" t="s">
        <v>6499</v>
      </c>
      <c r="I281" s="2" t="s">
        <v>4723</v>
      </c>
      <c r="J281" s="2" t="s">
        <v>4724</v>
      </c>
      <c r="K281" s="2" t="s">
        <v>6498</v>
      </c>
      <c r="L281" s="2" t="s">
        <v>6498</v>
      </c>
      <c r="M281" s="2" t="s">
        <v>6500</v>
      </c>
      <c r="N281" s="2" t="s">
        <v>6501</v>
      </c>
      <c r="O281" s="2"/>
      <c r="P281" s="2" t="s">
        <v>6502</v>
      </c>
      <c r="Q281" s="2"/>
      <c r="R281" s="2"/>
      <c r="S281" s="2" t="s">
        <v>6502</v>
      </c>
      <c r="T281" s="2">
        <v>74</v>
      </c>
      <c r="U281" s="2">
        <v>31</v>
      </c>
      <c r="V281" s="2" t="s">
        <v>6503</v>
      </c>
      <c r="W281" s="2" t="s">
        <v>533</v>
      </c>
      <c r="X281" s="2"/>
      <c r="Y281" s="2"/>
      <c r="Z281" s="2" t="s">
        <v>6504</v>
      </c>
      <c r="AA281" s="2" t="s">
        <v>6505</v>
      </c>
      <c r="AB281" s="2">
        <v>41</v>
      </c>
      <c r="AC281" s="2" t="s">
        <v>139</v>
      </c>
      <c r="AD281" s="2" t="s">
        <v>6506</v>
      </c>
      <c r="AE281" s="2">
        <v>176</v>
      </c>
      <c r="AF281" s="2" t="s">
        <v>141</v>
      </c>
      <c r="AG281" s="2"/>
      <c r="AH281" s="2"/>
      <c r="AI281" s="2"/>
      <c r="AJ281" s="2"/>
      <c r="AK281" s="2" t="s">
        <v>142</v>
      </c>
      <c r="AL281" s="2" t="s">
        <v>6507</v>
      </c>
      <c r="AM281" s="2" t="s">
        <v>6508</v>
      </c>
      <c r="AN281" s="2" t="s">
        <v>6509</v>
      </c>
      <c r="AO281" s="2" t="s">
        <v>6510</v>
      </c>
      <c r="AP281" s="2">
        <v>706060000</v>
      </c>
      <c r="AQ281" s="2">
        <v>706060000</v>
      </c>
      <c r="AR281" s="2" t="s">
        <v>415</v>
      </c>
      <c r="AS281" s="2">
        <v>81942614</v>
      </c>
      <c r="AT281" s="2" t="s">
        <v>6511</v>
      </c>
      <c r="AU281" s="2"/>
      <c r="AV281" s="2"/>
      <c r="AW281" s="2" t="s">
        <v>148</v>
      </c>
      <c r="AX281" s="2">
        <v>91564724</v>
      </c>
      <c r="AY281" s="2" t="s">
        <v>6512</v>
      </c>
      <c r="AZ281" s="2" t="s">
        <v>6513</v>
      </c>
      <c r="BA281" s="2" t="s">
        <v>4737</v>
      </c>
      <c r="BB281" s="2">
        <v>0</v>
      </c>
      <c r="BC281" s="3" t="str">
        <f>HYPERLINK("https://patentscout.innography.com/share/nQ6ojDpSuoA_LqQTXY_bqA%3D%3D","US20220188672")</f>
        <v>US20220188672</v>
      </c>
      <c r="BD281" s="2" t="s">
        <v>6514</v>
      </c>
      <c r="BE281" s="2" t="s">
        <v>6515</v>
      </c>
      <c r="BF281" s="2" t="s">
        <v>6516</v>
      </c>
      <c r="BG281" s="2" t="str">
        <f>HYPERLINK("https://patentscout.innography.com/share/nQ6ojDpSuoA_LqQTXY_bqA%3D%3D/download", "Download PDF")</f>
        <v>Download PDF</v>
      </c>
      <c r="BH281" s="2" t="s">
        <v>6517</v>
      </c>
      <c r="BI281" s="2"/>
      <c r="BJ281" s="2" t="s">
        <v>6512</v>
      </c>
      <c r="BK281" s="2" t="s">
        <v>6512</v>
      </c>
      <c r="BL281" s="2" t="s">
        <v>6512</v>
      </c>
      <c r="BM281" s="2"/>
      <c r="BN281" s="2"/>
      <c r="BO281" s="2"/>
      <c r="BP281" s="2"/>
      <c r="BQ281" s="2"/>
      <c r="BR281" s="2"/>
      <c r="BS281" s="2"/>
      <c r="BT281" s="2"/>
      <c r="BU281" s="2"/>
      <c r="BV281" s="2"/>
      <c r="BW281" s="2"/>
      <c r="BX281" s="2"/>
      <c r="BY281" s="2"/>
      <c r="BZ281" s="2"/>
      <c r="CA281" s="2"/>
      <c r="CB281" s="2"/>
      <c r="CC281" s="2" t="s">
        <v>158</v>
      </c>
      <c r="CD281" s="2" t="str">
        <f>HYPERLINK("https://patentscout.innography.com/share/nQ6ojDpSuoA_LqQTXY_bqA%3D%3D", "Innography Link")</f>
        <v>Innography Link</v>
      </c>
      <c r="CE281" s="2"/>
      <c r="CF281" s="2"/>
      <c r="CG281" s="2"/>
      <c r="CH281" s="2"/>
      <c r="CI281" s="2"/>
      <c r="CK281" s="2" t="s">
        <v>6518</v>
      </c>
      <c r="CL281" s="2" t="s">
        <v>6519</v>
      </c>
      <c r="CM281" s="2" t="s">
        <v>6520</v>
      </c>
      <c r="CN281" s="2" t="s">
        <v>6521</v>
      </c>
      <c r="CO281" s="2" t="s">
        <v>6522</v>
      </c>
    </row>
    <row r="282" spans="1:98" ht="152" customHeight="1" x14ac:dyDescent="0.45">
      <c r="A282" s="2">
        <v>0</v>
      </c>
      <c r="B282" s="2">
        <v>0</v>
      </c>
      <c r="C282" s="2"/>
      <c r="D282" s="2"/>
      <c r="E282" s="2" t="s">
        <v>551</v>
      </c>
      <c r="F282" s="2"/>
      <c r="G282" s="2" t="s">
        <v>551</v>
      </c>
      <c r="H282" s="2" t="s">
        <v>6523</v>
      </c>
      <c r="I282" s="2" t="s">
        <v>6524</v>
      </c>
      <c r="J282" s="2" t="s">
        <v>6525</v>
      </c>
      <c r="K282" s="2" t="s">
        <v>551</v>
      </c>
      <c r="L282" s="2" t="s">
        <v>551</v>
      </c>
      <c r="M282" s="2" t="s">
        <v>6526</v>
      </c>
      <c r="N282" s="2" t="s">
        <v>6527</v>
      </c>
      <c r="O282" s="2"/>
      <c r="P282" s="2" t="s">
        <v>6528</v>
      </c>
      <c r="Q282" s="2"/>
      <c r="R282" s="2"/>
      <c r="S282" s="2" t="s">
        <v>6528</v>
      </c>
      <c r="T282" s="2">
        <v>74</v>
      </c>
      <c r="U282" s="2">
        <v>16</v>
      </c>
      <c r="V282" s="2" t="s">
        <v>6529</v>
      </c>
      <c r="W282" s="2" t="s">
        <v>533</v>
      </c>
      <c r="X282" s="2"/>
      <c r="Y282" s="2"/>
      <c r="Z282" s="2" t="s">
        <v>6530</v>
      </c>
      <c r="AA282" s="2" t="s">
        <v>6531</v>
      </c>
      <c r="AB282" s="2">
        <v>20</v>
      </c>
      <c r="AC282" s="2" t="s">
        <v>139</v>
      </c>
      <c r="AD282" s="2" t="s">
        <v>6532</v>
      </c>
      <c r="AE282" s="2">
        <v>104</v>
      </c>
      <c r="AF282" s="2" t="s">
        <v>141</v>
      </c>
      <c r="AG282" s="2"/>
      <c r="AH282" s="2"/>
      <c r="AI282" s="2"/>
      <c r="AJ282" s="2"/>
      <c r="AK282" s="2" t="s">
        <v>142</v>
      </c>
      <c r="AL282" s="2" t="s">
        <v>6533</v>
      </c>
      <c r="AM282" s="2" t="s">
        <v>6533</v>
      </c>
      <c r="AN282" s="2" t="s">
        <v>6534</v>
      </c>
      <c r="AO282" s="2" t="s">
        <v>6534</v>
      </c>
      <c r="AP282" s="2">
        <v>705348000</v>
      </c>
      <c r="AQ282" s="2">
        <v>705348000</v>
      </c>
      <c r="AR282" s="2" t="s">
        <v>541</v>
      </c>
      <c r="AS282" s="2">
        <v>83448233</v>
      </c>
      <c r="AT282" s="2" t="s">
        <v>6535</v>
      </c>
      <c r="AU282" s="2"/>
      <c r="AV282" s="2"/>
      <c r="AW282" s="2" t="s">
        <v>148</v>
      </c>
      <c r="AX282" s="2">
        <v>91250449</v>
      </c>
      <c r="AY282" s="2" t="s">
        <v>6536</v>
      </c>
      <c r="AZ282" s="2" t="s">
        <v>6537</v>
      </c>
      <c r="BA282" s="2" t="s">
        <v>6538</v>
      </c>
      <c r="BB282" s="2">
        <v>0</v>
      </c>
      <c r="BC282" s="3" t="str">
        <f>HYPERLINK("https://patentscout.innography.com/share/6OgZ_aEsXPhH3vWPS-QBWQ%3D%3D","US20220318935")</f>
        <v>US20220318935</v>
      </c>
      <c r="BD282" s="2" t="s">
        <v>6539</v>
      </c>
      <c r="BE282" s="2" t="s">
        <v>6540</v>
      </c>
      <c r="BF282" s="2" t="s">
        <v>6541</v>
      </c>
      <c r="BG282" s="2" t="str">
        <f>HYPERLINK("https://patentscout.innography.com/share/6OgZ_aEsXPhH3vWPS-QBWQ%3D%3D/download", "Download PDF")</f>
        <v>Download PDF</v>
      </c>
      <c r="BH282" s="2" t="s">
        <v>6542</v>
      </c>
      <c r="BI282" s="2"/>
      <c r="BJ282" s="2" t="s">
        <v>6536</v>
      </c>
      <c r="BK282" s="2" t="s">
        <v>6536</v>
      </c>
      <c r="BL282" s="2" t="s">
        <v>6536</v>
      </c>
      <c r="BM282" s="2"/>
      <c r="BN282" s="2"/>
      <c r="BO282" s="2"/>
      <c r="BP282" s="2"/>
      <c r="BQ282" s="2"/>
      <c r="BR282" s="2"/>
      <c r="BS282" s="2"/>
      <c r="BT282" s="2"/>
      <c r="BU282" s="2"/>
      <c r="BV282" s="2"/>
      <c r="BW282" s="2"/>
      <c r="BX282" s="2"/>
      <c r="BY282" s="2"/>
      <c r="BZ282" s="2"/>
      <c r="CA282" s="2"/>
      <c r="CB282" s="2"/>
      <c r="CC282" s="2" t="s">
        <v>158</v>
      </c>
      <c r="CD282" s="2" t="str">
        <f>HYPERLINK("https://patentscout.innography.com/share/6OgZ_aEsXPhH3vWPS-QBWQ%3D%3D", "Innography Link")</f>
        <v>Innography Link</v>
      </c>
      <c r="CE282" s="2"/>
      <c r="CF282" s="2"/>
      <c r="CG282" s="2"/>
      <c r="CH282" s="2"/>
      <c r="CI282" s="2"/>
      <c r="CK282" s="2" t="s">
        <v>6543</v>
      </c>
      <c r="CL282" s="2" t="s">
        <v>6544</v>
      </c>
      <c r="CM282" s="2" t="s">
        <v>6545</v>
      </c>
    </row>
    <row r="283" spans="1:98" ht="152" customHeight="1" x14ac:dyDescent="0.45">
      <c r="A283" s="2">
        <v>0</v>
      </c>
      <c r="B283" s="2">
        <v>4</v>
      </c>
      <c r="C283" s="2" t="s">
        <v>6546</v>
      </c>
      <c r="D283" s="2"/>
      <c r="E283" s="2" t="s">
        <v>859</v>
      </c>
      <c r="F283" s="2"/>
      <c r="G283" s="2" t="s">
        <v>859</v>
      </c>
      <c r="H283" s="2" t="s">
        <v>1891</v>
      </c>
      <c r="I283" s="2" t="s">
        <v>6547</v>
      </c>
      <c r="J283" s="2" t="s">
        <v>1893</v>
      </c>
      <c r="K283" s="2" t="s">
        <v>1362</v>
      </c>
      <c r="L283" s="2" t="s">
        <v>1362</v>
      </c>
      <c r="M283" s="2" t="s">
        <v>6548</v>
      </c>
      <c r="N283" s="2" t="s">
        <v>6549</v>
      </c>
      <c r="O283" s="2" t="s">
        <v>6550</v>
      </c>
      <c r="P283" s="2" t="s">
        <v>6551</v>
      </c>
      <c r="Q283" s="2" t="s">
        <v>6552</v>
      </c>
      <c r="R283" s="2" t="s">
        <v>6553</v>
      </c>
      <c r="S283" s="2" t="s">
        <v>6551</v>
      </c>
      <c r="T283" s="2">
        <v>74</v>
      </c>
      <c r="U283" s="2">
        <v>26</v>
      </c>
      <c r="V283" s="2" t="s">
        <v>6554</v>
      </c>
      <c r="W283" s="2"/>
      <c r="X283" s="2"/>
      <c r="Y283" s="2"/>
      <c r="Z283" s="2" t="s">
        <v>6555</v>
      </c>
      <c r="AA283" s="2" t="s">
        <v>6556</v>
      </c>
      <c r="AB283" s="2">
        <v>33</v>
      </c>
      <c r="AC283" s="2" t="s">
        <v>139</v>
      </c>
      <c r="AD283" s="2" t="s">
        <v>6557</v>
      </c>
      <c r="AE283" s="2">
        <v>329</v>
      </c>
      <c r="AF283" s="2" t="s">
        <v>141</v>
      </c>
      <c r="AG283" s="2" t="s">
        <v>6558</v>
      </c>
      <c r="AH283" s="2"/>
      <c r="AI283" s="2"/>
      <c r="AJ283" s="2"/>
      <c r="AK283" s="2" t="s">
        <v>619</v>
      </c>
      <c r="AL283" s="2" t="s">
        <v>6559</v>
      </c>
      <c r="AM283" s="2" t="s">
        <v>6560</v>
      </c>
      <c r="AN283" s="2" t="s">
        <v>6561</v>
      </c>
      <c r="AO283" s="2" t="s">
        <v>6562</v>
      </c>
      <c r="AP283" s="2">
        <v>713340000</v>
      </c>
      <c r="AQ283" s="2">
        <v>713340000</v>
      </c>
      <c r="AR283" s="2" t="s">
        <v>146</v>
      </c>
      <c r="AS283" s="2">
        <v>83666666</v>
      </c>
      <c r="AT283" s="2" t="s">
        <v>6563</v>
      </c>
      <c r="AU283" s="2"/>
      <c r="AV283" s="2"/>
      <c r="AW283" s="2" t="s">
        <v>624</v>
      </c>
      <c r="AX283" s="2">
        <v>92039892</v>
      </c>
      <c r="AY283" s="2" t="s">
        <v>6564</v>
      </c>
      <c r="AZ283" s="2" t="s">
        <v>6565</v>
      </c>
      <c r="BA283" s="2" t="s">
        <v>1908</v>
      </c>
      <c r="BB283" s="2">
        <v>0</v>
      </c>
      <c r="BC283" s="3" t="str">
        <f>HYPERLINK("https://patentscout.innography.com/share/1yBBYcTNehKo_EjuZOlCmQ%3D%3D","WO2022225464")</f>
        <v>WO2022225464</v>
      </c>
      <c r="BD283" s="2" t="s">
        <v>6566</v>
      </c>
      <c r="BE283" s="2" t="s">
        <v>879</v>
      </c>
      <c r="BF283" s="2" t="s">
        <v>6567</v>
      </c>
      <c r="BG283" s="2" t="str">
        <f>HYPERLINK("https://patentscout.innography.com/share/1yBBYcTNehKo_EjuZOlCmQ%3D%3D/download", "Download PDF")</f>
        <v>Download PDF</v>
      </c>
      <c r="BH283" s="2" t="s">
        <v>6568</v>
      </c>
      <c r="BI283" s="2" t="s">
        <v>6569</v>
      </c>
      <c r="BJ283" s="2" t="s">
        <v>6570</v>
      </c>
      <c r="BK283" s="2" t="s">
        <v>6571</v>
      </c>
      <c r="BL283" s="2" t="s">
        <v>6571</v>
      </c>
      <c r="BM283" s="2"/>
      <c r="BN283" s="2"/>
      <c r="BO283" s="2"/>
      <c r="BP283" s="2"/>
      <c r="BQ283" s="2"/>
      <c r="BR283" s="2"/>
      <c r="BS283" s="2"/>
      <c r="BT283" s="2"/>
      <c r="BU283" s="2" t="s">
        <v>6572</v>
      </c>
      <c r="BV283" s="2"/>
      <c r="BW283" s="2"/>
      <c r="BX283" s="2"/>
      <c r="BY283" s="2"/>
      <c r="BZ283" s="2"/>
      <c r="CA283" s="2"/>
      <c r="CB283" s="2"/>
      <c r="CC283" s="2" t="s">
        <v>635</v>
      </c>
      <c r="CD283" s="2" t="str">
        <f>HYPERLINK("https://patentscout.innography.com/share/1yBBYcTNehKo_EjuZOlCmQ%3D%3D", "Innography Link")</f>
        <v>Innography Link</v>
      </c>
      <c r="CE283" s="2" t="s">
        <v>1045</v>
      </c>
      <c r="CF283" s="2" t="s">
        <v>6573</v>
      </c>
      <c r="CG283" s="2" t="s">
        <v>1047</v>
      </c>
      <c r="CH283" s="2" t="s">
        <v>1048</v>
      </c>
      <c r="CI283" s="2"/>
      <c r="CK283" s="2" t="s">
        <v>4840</v>
      </c>
      <c r="CL283" s="2" t="s">
        <v>6574</v>
      </c>
      <c r="CM283" s="2" t="s">
        <v>6575</v>
      </c>
    </row>
    <row r="284" spans="1:98" ht="152" customHeight="1" x14ac:dyDescent="0.45">
      <c r="A284" s="2">
        <v>0</v>
      </c>
      <c r="B284" s="2">
        <v>10</v>
      </c>
      <c r="C284" s="2" t="s">
        <v>6576</v>
      </c>
      <c r="D284" s="2"/>
      <c r="E284" s="2" t="s">
        <v>351</v>
      </c>
      <c r="F284" s="2"/>
      <c r="G284" s="2" t="s">
        <v>351</v>
      </c>
      <c r="H284" s="2" t="s">
        <v>6577</v>
      </c>
      <c r="I284" s="2" t="s">
        <v>6578</v>
      </c>
      <c r="J284" s="2" t="s">
        <v>6579</v>
      </c>
      <c r="K284" s="2" t="s">
        <v>351</v>
      </c>
      <c r="L284" s="2" t="s">
        <v>351</v>
      </c>
      <c r="M284" s="2" t="s">
        <v>6580</v>
      </c>
      <c r="N284" s="2" t="s">
        <v>6581</v>
      </c>
      <c r="O284" s="2"/>
      <c r="P284" s="2" t="s">
        <v>6582</v>
      </c>
      <c r="Q284" s="2"/>
      <c r="R284" s="2"/>
      <c r="S284" s="2" t="s">
        <v>6582</v>
      </c>
      <c r="T284" s="2">
        <v>74</v>
      </c>
      <c r="U284" s="2">
        <v>33</v>
      </c>
      <c r="V284" s="2" t="s">
        <v>6583</v>
      </c>
      <c r="W284" s="2"/>
      <c r="X284" s="2"/>
      <c r="Y284" s="2"/>
      <c r="Z284" s="2" t="s">
        <v>6584</v>
      </c>
      <c r="AA284" s="2" t="s">
        <v>6585</v>
      </c>
      <c r="AB284" s="2">
        <v>40</v>
      </c>
      <c r="AC284" s="2" t="s">
        <v>139</v>
      </c>
      <c r="AD284" s="2" t="s">
        <v>6582</v>
      </c>
      <c r="AE284" s="2">
        <v>190</v>
      </c>
      <c r="AF284" s="2" t="s">
        <v>141</v>
      </c>
      <c r="AG284" s="2" t="s">
        <v>5830</v>
      </c>
      <c r="AH284" s="2"/>
      <c r="AI284" s="2"/>
      <c r="AJ284" s="2"/>
      <c r="AK284" s="2" t="s">
        <v>619</v>
      </c>
      <c r="AL284" s="2" t="s">
        <v>1587</v>
      </c>
      <c r="AM284" s="2" t="s">
        <v>1587</v>
      </c>
      <c r="AN284" s="2" t="s">
        <v>1588</v>
      </c>
      <c r="AO284" s="2" t="s">
        <v>6586</v>
      </c>
      <c r="AP284" s="2">
        <v>340005530</v>
      </c>
      <c r="AQ284" s="2">
        <v>340005530</v>
      </c>
      <c r="AR284" s="2" t="s">
        <v>415</v>
      </c>
      <c r="AS284" s="2">
        <v>84425820</v>
      </c>
      <c r="AT284" s="2" t="s">
        <v>6587</v>
      </c>
      <c r="AU284" s="2"/>
      <c r="AV284" s="2"/>
      <c r="AW284" s="2" t="s">
        <v>624</v>
      </c>
      <c r="AX284" s="2">
        <v>92912503</v>
      </c>
      <c r="AY284" s="2" t="s">
        <v>6588</v>
      </c>
      <c r="AZ284" s="2" t="s">
        <v>6589</v>
      </c>
      <c r="BA284" s="2" t="s">
        <v>6590</v>
      </c>
      <c r="BB284" s="2">
        <v>0</v>
      </c>
      <c r="BC284" s="3" t="str">
        <f>HYPERLINK("https://patentscout.innography.com/share/GUkOFgkFOnidRJLbU8P3Uw%3D%3D","WO2022259253")</f>
        <v>WO2022259253</v>
      </c>
      <c r="BD284" s="2" t="s">
        <v>6591</v>
      </c>
      <c r="BE284" s="2"/>
      <c r="BF284" s="2" t="s">
        <v>6592</v>
      </c>
      <c r="BG284" s="2" t="str">
        <f>HYPERLINK("https://patentscout.innography.com/share/GUkOFgkFOnidRJLbU8P3Uw%3D%3D/download", "Download PDF")</f>
        <v>Download PDF</v>
      </c>
      <c r="BH284" s="2" t="s">
        <v>6593</v>
      </c>
      <c r="BI284" s="2"/>
      <c r="BJ284" s="2" t="s">
        <v>6594</v>
      </c>
      <c r="BK284" s="2" t="s">
        <v>6588</v>
      </c>
      <c r="BL284" s="2" t="s">
        <v>6588</v>
      </c>
      <c r="BM284" s="2"/>
      <c r="BN284" s="2"/>
      <c r="BO284" s="2"/>
      <c r="BP284" s="2"/>
      <c r="BQ284" s="2"/>
      <c r="BR284" s="2"/>
      <c r="BS284" s="2"/>
      <c r="BT284" s="2"/>
      <c r="BU284" s="2"/>
      <c r="BV284" s="2"/>
      <c r="BW284" s="2"/>
      <c r="BX284" s="2"/>
      <c r="BY284" s="2"/>
      <c r="BZ284" s="2"/>
      <c r="CA284" s="2"/>
      <c r="CB284" s="2"/>
      <c r="CC284" s="2" t="s">
        <v>635</v>
      </c>
      <c r="CD284" s="2" t="str">
        <f>HYPERLINK("https://patentscout.innography.com/share/GUkOFgkFOnidRJLbU8P3Uw%3D%3D", "Innography Link")</f>
        <v>Innography Link</v>
      </c>
      <c r="CE284" s="2"/>
      <c r="CF284" s="2"/>
      <c r="CG284" s="2"/>
      <c r="CH284" s="2"/>
      <c r="CI284" s="2"/>
      <c r="CK284" s="2" t="s">
        <v>4840</v>
      </c>
      <c r="CL284" s="2" t="s">
        <v>6595</v>
      </c>
      <c r="CM284" s="2" t="s">
        <v>6596</v>
      </c>
      <c r="CN284" s="2" t="s">
        <v>6597</v>
      </c>
      <c r="CO284" s="2" t="s">
        <v>6598</v>
      </c>
      <c r="CP284" s="2" t="s">
        <v>6599</v>
      </c>
      <c r="CQ284" s="2" t="s">
        <v>6600</v>
      </c>
      <c r="CR284" s="2" t="s">
        <v>6601</v>
      </c>
    </row>
    <row r="285" spans="1:98" ht="152" customHeight="1" x14ac:dyDescent="0.45">
      <c r="A285" s="2">
        <v>0</v>
      </c>
      <c r="B285" s="2">
        <v>0</v>
      </c>
      <c r="C285" s="2"/>
      <c r="D285" s="2"/>
      <c r="E285" s="2" t="s">
        <v>6602</v>
      </c>
      <c r="F285" s="2"/>
      <c r="G285" s="2" t="s">
        <v>6602</v>
      </c>
      <c r="H285" s="2" t="s">
        <v>1808</v>
      </c>
      <c r="I285" s="2" t="s">
        <v>1808</v>
      </c>
      <c r="J285" s="2" t="s">
        <v>1809</v>
      </c>
      <c r="K285" s="2" t="s">
        <v>6602</v>
      </c>
      <c r="L285" s="2" t="s">
        <v>6602</v>
      </c>
      <c r="M285" s="2" t="s">
        <v>6603</v>
      </c>
      <c r="N285" s="2" t="s">
        <v>6604</v>
      </c>
      <c r="O285" s="2"/>
      <c r="P285" s="2"/>
      <c r="Q285" s="2"/>
      <c r="R285" s="2"/>
      <c r="S285" s="2"/>
      <c r="T285" s="2">
        <v>74</v>
      </c>
      <c r="U285" s="2">
        <v>6</v>
      </c>
      <c r="V285" s="2" t="s">
        <v>6605</v>
      </c>
      <c r="W285" s="2"/>
      <c r="X285" s="2"/>
      <c r="Y285" s="2"/>
      <c r="Z285" s="2" t="s">
        <v>6606</v>
      </c>
      <c r="AA285" s="2" t="s">
        <v>6607</v>
      </c>
      <c r="AB285" s="2">
        <v>6</v>
      </c>
      <c r="AC285" s="2" t="s">
        <v>214</v>
      </c>
      <c r="AD285" s="2"/>
      <c r="AE285" s="2">
        <v>52</v>
      </c>
      <c r="AF285" s="2" t="s">
        <v>141</v>
      </c>
      <c r="AG285" s="2"/>
      <c r="AH285" s="2"/>
      <c r="AI285" s="2"/>
      <c r="AJ285" s="2"/>
      <c r="AK285" s="2" t="s">
        <v>1816</v>
      </c>
      <c r="AL285" s="2" t="s">
        <v>588</v>
      </c>
      <c r="AM285" s="2" t="s">
        <v>588</v>
      </c>
      <c r="AN285" s="2" t="s">
        <v>589</v>
      </c>
      <c r="AO285" s="2" t="s">
        <v>6608</v>
      </c>
      <c r="AP285" s="2">
        <v>705348000</v>
      </c>
      <c r="AQ285" s="2">
        <v>705348000</v>
      </c>
      <c r="AR285" s="2" t="s">
        <v>253</v>
      </c>
      <c r="AS285" s="2">
        <v>84369219</v>
      </c>
      <c r="AT285" s="2" t="s">
        <v>6609</v>
      </c>
      <c r="AU285" s="2"/>
      <c r="AV285" s="2"/>
      <c r="AW285" s="2" t="s">
        <v>1821</v>
      </c>
      <c r="AX285" s="2">
        <v>93009430</v>
      </c>
      <c r="AY285" s="2" t="s">
        <v>6610</v>
      </c>
      <c r="AZ285" s="2" t="s">
        <v>6611</v>
      </c>
      <c r="BA285" s="2" t="s">
        <v>1824</v>
      </c>
      <c r="BB285" s="2">
        <v>0</v>
      </c>
      <c r="BC285" s="3" t="str">
        <f>HYPERLINK("https://patentscout.innography.com/share/fY4EeYotvTL3WXGhN8IlQQ%3D%3D","CN115471383")</f>
        <v>CN115471383</v>
      </c>
      <c r="BD285" s="2" t="s">
        <v>6612</v>
      </c>
      <c r="BE285" s="2"/>
      <c r="BF285" s="2" t="s">
        <v>6613</v>
      </c>
      <c r="BG285" s="2" t="str">
        <f>HYPERLINK("https://patentscout.innography.com/share/fY4EeYotvTL3WXGhN8IlQQ%3D%3D/download", "Download PDF")</f>
        <v>Download PDF</v>
      </c>
      <c r="BH285" s="2" t="s">
        <v>6614</v>
      </c>
      <c r="BI285" s="2"/>
      <c r="BJ285" s="2" t="s">
        <v>6610</v>
      </c>
      <c r="BK285" s="2" t="s">
        <v>6610</v>
      </c>
      <c r="BL285" s="2" t="s">
        <v>6610</v>
      </c>
      <c r="BM285" s="2"/>
      <c r="BN285" s="2"/>
      <c r="BO285" s="2"/>
      <c r="BP285" s="2"/>
      <c r="BQ285" s="2"/>
      <c r="BR285" s="2"/>
      <c r="BS285" s="2"/>
      <c r="BT285" s="2"/>
      <c r="BU285" s="2"/>
      <c r="BV285" s="2"/>
      <c r="BW285" s="2"/>
      <c r="BX285" s="2"/>
      <c r="BY285" s="2"/>
      <c r="BZ285" s="2"/>
      <c r="CA285" s="2"/>
      <c r="CB285" s="2"/>
      <c r="CC285" s="2" t="s">
        <v>1829</v>
      </c>
      <c r="CD285" s="2" t="str">
        <f>HYPERLINK("https://patentscout.innography.com/share/fY4EeYotvTL3WXGhN8IlQQ%3D%3D", "Innography Link")</f>
        <v>Innography Link</v>
      </c>
      <c r="CE285" s="2"/>
      <c r="CF285" s="2"/>
      <c r="CG285" s="2"/>
      <c r="CH285" s="2"/>
      <c r="CI285" s="2"/>
      <c r="CK285" s="2" t="s">
        <v>6615</v>
      </c>
    </row>
    <row r="286" spans="1:98" ht="152" customHeight="1" x14ac:dyDescent="0.45">
      <c r="A286" s="2">
        <v>0</v>
      </c>
      <c r="B286" s="2">
        <v>0</v>
      </c>
      <c r="C286" s="2"/>
      <c r="D286" s="2"/>
      <c r="E286" s="2" t="s">
        <v>6616</v>
      </c>
      <c r="F286" s="2"/>
      <c r="G286" s="2" t="s">
        <v>6616</v>
      </c>
      <c r="H286" s="2" t="s">
        <v>6617</v>
      </c>
      <c r="I286" s="2" t="s">
        <v>6617</v>
      </c>
      <c r="J286" s="2" t="s">
        <v>6618</v>
      </c>
      <c r="K286" s="2" t="s">
        <v>6616</v>
      </c>
      <c r="L286" s="2" t="s">
        <v>6616</v>
      </c>
      <c r="M286" s="2" t="s">
        <v>6619</v>
      </c>
      <c r="N286" s="2" t="s">
        <v>6620</v>
      </c>
      <c r="O286" s="2" t="s">
        <v>6621</v>
      </c>
      <c r="P286" s="2" t="s">
        <v>6622</v>
      </c>
      <c r="Q286" s="2" t="s">
        <v>5804</v>
      </c>
      <c r="R286" s="2" t="s">
        <v>5804</v>
      </c>
      <c r="S286" s="2" t="s">
        <v>6622</v>
      </c>
      <c r="T286" s="2">
        <v>74</v>
      </c>
      <c r="U286" s="2">
        <v>9</v>
      </c>
      <c r="V286" s="2" t="s">
        <v>6623</v>
      </c>
      <c r="W286" s="2"/>
      <c r="X286" s="2"/>
      <c r="Y286" s="2"/>
      <c r="Z286" s="2" t="s">
        <v>6624</v>
      </c>
      <c r="AA286" s="2" t="s">
        <v>6625</v>
      </c>
      <c r="AB286" s="2">
        <v>9</v>
      </c>
      <c r="AC286" s="2" t="s">
        <v>214</v>
      </c>
      <c r="AD286" s="2" t="s">
        <v>6626</v>
      </c>
      <c r="AE286" s="2">
        <v>128</v>
      </c>
      <c r="AF286" s="2" t="s">
        <v>141</v>
      </c>
      <c r="AG286" s="2"/>
      <c r="AH286" s="2"/>
      <c r="AI286" s="2"/>
      <c r="AJ286" s="2"/>
      <c r="AK286" s="2" t="s">
        <v>1816</v>
      </c>
      <c r="AL286" s="2" t="s">
        <v>6627</v>
      </c>
      <c r="AM286" s="2" t="s">
        <v>6628</v>
      </c>
      <c r="AN286" s="2" t="s">
        <v>6629</v>
      </c>
      <c r="AO286" s="2" t="s">
        <v>6630</v>
      </c>
      <c r="AP286" s="2">
        <v>340005530</v>
      </c>
      <c r="AQ286" s="2">
        <v>340005530</v>
      </c>
      <c r="AR286" s="2" t="s">
        <v>253</v>
      </c>
      <c r="AS286" s="2">
        <v>74486078</v>
      </c>
      <c r="AT286" s="2" t="s">
        <v>6631</v>
      </c>
      <c r="AU286" s="2"/>
      <c r="AV286" s="2"/>
      <c r="AW286" s="2" t="s">
        <v>1821</v>
      </c>
      <c r="AX286" s="2">
        <v>79173196</v>
      </c>
      <c r="AY286" s="2" t="s">
        <v>6632</v>
      </c>
      <c r="AZ286" s="2" t="s">
        <v>6633</v>
      </c>
      <c r="BA286" s="2" t="s">
        <v>6634</v>
      </c>
      <c r="BB286" s="2">
        <v>0</v>
      </c>
      <c r="BC286" s="3" t="str">
        <f>HYPERLINK("https://patentscout.innography.com/share/S1FzRBTaNzEPkkC8WTxCvw%3D%3D","CN112308906")</f>
        <v>CN112308906</v>
      </c>
      <c r="BD286" s="2" t="s">
        <v>6635</v>
      </c>
      <c r="BE286" s="2" t="s">
        <v>6636</v>
      </c>
      <c r="BF286" s="2" t="s">
        <v>6637</v>
      </c>
      <c r="BG286" s="2" t="str">
        <f>HYPERLINK("https://patentscout.innography.com/share/S1FzRBTaNzEPkkC8WTxCvw%3D%3D/download", "Download PDF")</f>
        <v>Download PDF</v>
      </c>
      <c r="BH286" s="2" t="s">
        <v>6638</v>
      </c>
      <c r="BI286" s="2"/>
      <c r="BJ286" s="2" t="s">
        <v>6632</v>
      </c>
      <c r="BK286" s="2" t="s">
        <v>6632</v>
      </c>
      <c r="BL286" s="2" t="s">
        <v>6632</v>
      </c>
      <c r="BM286" s="2"/>
      <c r="BN286" s="2"/>
      <c r="BO286" s="2"/>
      <c r="BP286" s="2"/>
      <c r="BQ286" s="2"/>
      <c r="BR286" s="2"/>
      <c r="BS286" s="2"/>
      <c r="BT286" s="2"/>
      <c r="BU286" s="2"/>
      <c r="BV286" s="2" t="s">
        <v>6639</v>
      </c>
      <c r="BW286" s="2"/>
      <c r="BX286" s="2"/>
      <c r="BY286" s="2"/>
      <c r="BZ286" s="2"/>
      <c r="CA286" s="2"/>
      <c r="CB286" s="2"/>
      <c r="CC286" s="2" t="s">
        <v>1829</v>
      </c>
      <c r="CD286" s="2" t="str">
        <f>HYPERLINK("https://patentscout.innography.com/share/S1FzRBTaNzEPkkC8WTxCvw%3D%3D", "Innography Link")</f>
        <v>Innography Link</v>
      </c>
      <c r="CE286" s="2"/>
      <c r="CF286" s="2"/>
      <c r="CG286" s="2"/>
      <c r="CH286" s="2"/>
      <c r="CI286" s="2"/>
      <c r="CK286" s="2" t="s">
        <v>6640</v>
      </c>
      <c r="CL286" s="2" t="s">
        <v>6641</v>
      </c>
      <c r="CM286" s="2" t="s">
        <v>6642</v>
      </c>
    </row>
    <row r="287" spans="1:98" ht="152" customHeight="1" x14ac:dyDescent="0.45">
      <c r="A287" s="2">
        <v>0</v>
      </c>
      <c r="B287" s="2">
        <v>0</v>
      </c>
      <c r="C287" s="2"/>
      <c r="D287" s="2"/>
      <c r="E287" s="2" t="s">
        <v>6643</v>
      </c>
      <c r="F287" s="2"/>
      <c r="G287" s="2" t="s">
        <v>6643</v>
      </c>
      <c r="H287" s="2" t="s">
        <v>6644</v>
      </c>
      <c r="I287" s="2" t="s">
        <v>4904</v>
      </c>
      <c r="J287" s="2" t="s">
        <v>6645</v>
      </c>
      <c r="K287" s="2" t="s">
        <v>6643</v>
      </c>
      <c r="L287" s="2" t="s">
        <v>6643</v>
      </c>
      <c r="M287" s="2" t="s">
        <v>6646</v>
      </c>
      <c r="N287" s="2" t="s">
        <v>6647</v>
      </c>
      <c r="O287" s="2" t="s">
        <v>6648</v>
      </c>
      <c r="P287" s="2" t="s">
        <v>6649</v>
      </c>
      <c r="Q287" s="2" t="s">
        <v>6650</v>
      </c>
      <c r="R287" s="2" t="s">
        <v>6650</v>
      </c>
      <c r="S287" s="2" t="s">
        <v>6649</v>
      </c>
      <c r="T287" s="2">
        <v>74</v>
      </c>
      <c r="U287" s="2">
        <v>16</v>
      </c>
      <c r="V287" s="2" t="s">
        <v>6651</v>
      </c>
      <c r="W287" s="2" t="s">
        <v>533</v>
      </c>
      <c r="X287" s="2"/>
      <c r="Y287" s="2"/>
      <c r="Z287" s="2" t="s">
        <v>6652</v>
      </c>
      <c r="AA287" s="2" t="s">
        <v>6653</v>
      </c>
      <c r="AB287" s="2">
        <v>20</v>
      </c>
      <c r="AC287" s="2" t="s">
        <v>139</v>
      </c>
      <c r="AD287" s="2" t="s">
        <v>6654</v>
      </c>
      <c r="AE287" s="2">
        <v>135</v>
      </c>
      <c r="AF287" s="2" t="s">
        <v>141</v>
      </c>
      <c r="AG287" s="2"/>
      <c r="AH287" s="2"/>
      <c r="AI287" s="2"/>
      <c r="AJ287" s="2"/>
      <c r="AK287" s="2" t="s">
        <v>142</v>
      </c>
      <c r="AL287" s="2" t="s">
        <v>6655</v>
      </c>
      <c r="AM287" s="2" t="s">
        <v>6656</v>
      </c>
      <c r="AN287" s="2" t="s">
        <v>1755</v>
      </c>
      <c r="AO287" s="2" t="s">
        <v>6657</v>
      </c>
      <c r="AP287" s="2"/>
      <c r="AQ287" s="2"/>
      <c r="AR287" s="2" t="s">
        <v>541</v>
      </c>
      <c r="AS287" s="2">
        <v>81380381</v>
      </c>
      <c r="AT287" s="2" t="s">
        <v>6658</v>
      </c>
      <c r="AU287" s="2"/>
      <c r="AV287" s="2"/>
      <c r="AW287" s="2" t="s">
        <v>303</v>
      </c>
      <c r="AX287" s="2">
        <v>87769005</v>
      </c>
      <c r="AY287" s="2" t="s">
        <v>6659</v>
      </c>
      <c r="AZ287" s="2" t="s">
        <v>6660</v>
      </c>
      <c r="BA287" s="2" t="s">
        <v>6661</v>
      </c>
      <c r="BB287" s="2">
        <v>0</v>
      </c>
      <c r="BC287" s="3" t="str">
        <f>HYPERLINK("https://patentscout.innography.com/share/tEALW2JuHh4UawidWTEyfA%3D%3D","US20220139554")</f>
        <v>US20220139554</v>
      </c>
      <c r="BD287" s="2" t="s">
        <v>6662</v>
      </c>
      <c r="BE287" s="2" t="s">
        <v>6663</v>
      </c>
      <c r="BF287" s="2" t="s">
        <v>6664</v>
      </c>
      <c r="BG287" s="2" t="str">
        <f>HYPERLINK("https://patentscout.innography.com/share/tEALW2JuHh4UawidWTEyfA%3D%3D/download", "Download PDF")</f>
        <v>Download PDF</v>
      </c>
      <c r="BH287" s="2" t="s">
        <v>6665</v>
      </c>
      <c r="BI287" s="2"/>
      <c r="BJ287" s="2" t="s">
        <v>6659</v>
      </c>
      <c r="BK287" s="2" t="s">
        <v>6659</v>
      </c>
      <c r="BL287" s="2" t="s">
        <v>6659</v>
      </c>
      <c r="BM287" s="2"/>
      <c r="BN287" s="2"/>
      <c r="BO287" s="2"/>
      <c r="BP287" s="2"/>
      <c r="BQ287" s="2"/>
      <c r="BR287" s="2"/>
      <c r="BS287" s="2"/>
      <c r="BT287" s="2"/>
      <c r="BU287" s="2"/>
      <c r="BV287" s="2"/>
      <c r="BW287" s="2"/>
      <c r="BX287" s="2"/>
      <c r="BY287" s="2"/>
      <c r="BZ287" s="2"/>
      <c r="CA287" s="2"/>
      <c r="CB287" s="2"/>
      <c r="CC287" s="2" t="s">
        <v>158</v>
      </c>
      <c r="CD287" s="2" t="str">
        <f>HYPERLINK("https://patentscout.innography.com/share/tEALW2JuHh4UawidWTEyfA%3D%3D", "Innography Link")</f>
        <v>Innography Link</v>
      </c>
      <c r="CE287" s="2"/>
      <c r="CF287" s="2"/>
      <c r="CG287" s="2"/>
      <c r="CH287" s="2"/>
      <c r="CI287" s="2"/>
      <c r="CK287" s="2" t="s">
        <v>6666</v>
      </c>
      <c r="CL287" s="2" t="s">
        <v>6667</v>
      </c>
      <c r="CM287" s="2" t="s">
        <v>6668</v>
      </c>
    </row>
    <row r="288" spans="1:98" ht="152" customHeight="1" x14ac:dyDescent="0.45">
      <c r="A288" s="2">
        <v>0</v>
      </c>
      <c r="B288" s="2">
        <v>0</v>
      </c>
      <c r="C288" s="2"/>
      <c r="D288" s="2"/>
      <c r="E288" s="2" t="s">
        <v>2143</v>
      </c>
      <c r="F288" s="2"/>
      <c r="G288" s="2" t="s">
        <v>2143</v>
      </c>
      <c r="H288" s="2" t="s">
        <v>2061</v>
      </c>
      <c r="I288" s="2" t="s">
        <v>2061</v>
      </c>
      <c r="J288" s="2" t="s">
        <v>2062</v>
      </c>
      <c r="K288" s="2" t="s">
        <v>2143</v>
      </c>
      <c r="L288" s="2" t="s">
        <v>2143</v>
      </c>
      <c r="M288" s="2" t="s">
        <v>6669</v>
      </c>
      <c r="N288" s="2" t="s">
        <v>6670</v>
      </c>
      <c r="O288" s="2"/>
      <c r="P288" s="2" t="s">
        <v>3437</v>
      </c>
      <c r="Q288" s="2" t="s">
        <v>3437</v>
      </c>
      <c r="R288" s="2" t="s">
        <v>3438</v>
      </c>
      <c r="S288" s="2" t="s">
        <v>3437</v>
      </c>
      <c r="T288" s="2">
        <v>74</v>
      </c>
      <c r="U288" s="2">
        <v>6</v>
      </c>
      <c r="V288" s="2" t="s">
        <v>6671</v>
      </c>
      <c r="W288" s="2"/>
      <c r="X288" s="2"/>
      <c r="Y288" s="2"/>
      <c r="Z288" s="2" t="s">
        <v>6672</v>
      </c>
      <c r="AA288" s="2" t="s">
        <v>6673</v>
      </c>
      <c r="AB288" s="2">
        <v>8</v>
      </c>
      <c r="AC288" s="2" t="s">
        <v>214</v>
      </c>
      <c r="AD288" s="2" t="s">
        <v>6674</v>
      </c>
      <c r="AE288" s="2">
        <v>81</v>
      </c>
      <c r="AF288" s="2" t="s">
        <v>141</v>
      </c>
      <c r="AG288" s="2"/>
      <c r="AH288" s="2"/>
      <c r="AI288" s="2"/>
      <c r="AJ288" s="2"/>
      <c r="AK288" s="2" t="s">
        <v>1816</v>
      </c>
      <c r="AL288" s="2" t="s">
        <v>6675</v>
      </c>
      <c r="AM288" s="2" t="s">
        <v>6676</v>
      </c>
      <c r="AN288" s="2" t="s">
        <v>6677</v>
      </c>
      <c r="AO288" s="2" t="s">
        <v>6678</v>
      </c>
      <c r="AP288" s="2">
        <v>358296000</v>
      </c>
      <c r="AQ288" s="2">
        <v>358296000</v>
      </c>
      <c r="AR288" s="2" t="s">
        <v>253</v>
      </c>
      <c r="AS288" s="2">
        <v>82461360</v>
      </c>
      <c r="AT288" s="2" t="s">
        <v>6679</v>
      </c>
      <c r="AU288" s="2"/>
      <c r="AV288" s="2"/>
      <c r="AW288" s="2" t="s">
        <v>1821</v>
      </c>
      <c r="AX288" s="2">
        <v>91930510</v>
      </c>
      <c r="AY288" s="2" t="s">
        <v>6680</v>
      </c>
      <c r="AZ288" s="2" t="s">
        <v>6681</v>
      </c>
      <c r="BA288" s="2" t="s">
        <v>2073</v>
      </c>
      <c r="BB288" s="2">
        <v>0</v>
      </c>
      <c r="BC288" s="3" t="str">
        <f>HYPERLINK("https://patentscout.innography.com/share/eBcC8Aq91P1N7iEATGdyCw%3D%3D","CN114793276")</f>
        <v>CN114793276</v>
      </c>
      <c r="BD288" s="2" t="s">
        <v>6682</v>
      </c>
      <c r="BE288" s="2" t="s">
        <v>6683</v>
      </c>
      <c r="BF288" s="2" t="s">
        <v>6684</v>
      </c>
      <c r="BG288" s="2" t="str">
        <f>HYPERLINK("https://patentscout.innography.com/share/eBcC8Aq91P1N7iEATGdyCw%3D%3D/download", "Download PDF")</f>
        <v>Download PDF</v>
      </c>
      <c r="BH288" s="2" t="s">
        <v>6685</v>
      </c>
      <c r="BI288" s="2"/>
      <c r="BJ288" s="2" t="s">
        <v>6680</v>
      </c>
      <c r="BK288" s="2" t="s">
        <v>6680</v>
      </c>
      <c r="BL288" s="2" t="s">
        <v>6680</v>
      </c>
      <c r="BM288" s="2"/>
      <c r="BN288" s="2"/>
      <c r="BO288" s="2"/>
      <c r="BP288" s="2"/>
      <c r="BQ288" s="2"/>
      <c r="BR288" s="2"/>
      <c r="BS288" s="2"/>
      <c r="BT288" s="2"/>
      <c r="BU288" s="2"/>
      <c r="BV288" s="2"/>
      <c r="BW288" s="2"/>
      <c r="BX288" s="2"/>
      <c r="BY288" s="2"/>
      <c r="BZ288" s="2"/>
      <c r="CA288" s="2"/>
      <c r="CB288" s="2"/>
      <c r="CC288" s="2" t="s">
        <v>1829</v>
      </c>
      <c r="CD288" s="2" t="str">
        <f>HYPERLINK("https://patentscout.innography.com/share/eBcC8Aq91P1N7iEATGdyCw%3D%3D", "Innography Link")</f>
        <v>Innography Link</v>
      </c>
      <c r="CE288" s="2"/>
      <c r="CF288" s="2"/>
      <c r="CG288" s="2"/>
      <c r="CH288" s="2"/>
      <c r="CI288" s="2"/>
      <c r="CK288" s="2" t="s">
        <v>6686</v>
      </c>
    </row>
    <row r="289" spans="1:98" ht="152" customHeight="1" x14ac:dyDescent="0.45">
      <c r="A289" s="2">
        <v>0</v>
      </c>
      <c r="B289" s="2">
        <v>7</v>
      </c>
      <c r="C289" s="2" t="s">
        <v>6687</v>
      </c>
      <c r="D289" s="2"/>
      <c r="E289" s="2"/>
      <c r="F289" s="2" t="s">
        <v>6688</v>
      </c>
      <c r="G289" s="2" t="s">
        <v>6688</v>
      </c>
      <c r="H289" s="2" t="s">
        <v>6689</v>
      </c>
      <c r="I289" s="2" t="s">
        <v>6689</v>
      </c>
      <c r="J289" s="2" t="s">
        <v>6690</v>
      </c>
      <c r="K289" s="2" t="s">
        <v>6688</v>
      </c>
      <c r="L289" s="2" t="s">
        <v>6688</v>
      </c>
      <c r="M289" s="2" t="s">
        <v>6691</v>
      </c>
      <c r="N289" s="2" t="s">
        <v>6692</v>
      </c>
      <c r="O289" s="2"/>
      <c r="P289" s="2" t="s">
        <v>6693</v>
      </c>
      <c r="Q289" s="2"/>
      <c r="R289" s="2"/>
      <c r="S289" s="2" t="s">
        <v>6693</v>
      </c>
      <c r="T289" s="2">
        <v>74</v>
      </c>
      <c r="U289" s="2">
        <v>9</v>
      </c>
      <c r="V289" s="2" t="s">
        <v>6694</v>
      </c>
      <c r="W289" s="2"/>
      <c r="X289" s="2"/>
      <c r="Y289" s="2"/>
      <c r="Z289" s="2" t="s">
        <v>6695</v>
      </c>
      <c r="AA289" s="2" t="s">
        <v>6696</v>
      </c>
      <c r="AB289" s="2">
        <v>12</v>
      </c>
      <c r="AC289" s="2" t="s">
        <v>235</v>
      </c>
      <c r="AD289" s="2" t="s">
        <v>6693</v>
      </c>
      <c r="AE289" s="2">
        <v>203</v>
      </c>
      <c r="AF289" s="2" t="s">
        <v>141</v>
      </c>
      <c r="AG289" s="2"/>
      <c r="AH289" s="2"/>
      <c r="AI289" s="2"/>
      <c r="AJ289" s="2"/>
      <c r="AK289" s="2" t="s">
        <v>217</v>
      </c>
      <c r="AL289" s="2" t="s">
        <v>298</v>
      </c>
      <c r="AM289" s="2" t="s">
        <v>298</v>
      </c>
      <c r="AN289" s="2" t="s">
        <v>359</v>
      </c>
      <c r="AO289" s="2" t="s">
        <v>6697</v>
      </c>
      <c r="AP289" s="2">
        <v>705348000</v>
      </c>
      <c r="AQ289" s="2">
        <v>705348000</v>
      </c>
      <c r="AR289" s="2" t="s">
        <v>253</v>
      </c>
      <c r="AS289" s="2">
        <v>82847096</v>
      </c>
      <c r="AT289" s="2" t="s">
        <v>6698</v>
      </c>
      <c r="AU289" s="2"/>
      <c r="AV289" s="2"/>
      <c r="AW289" s="2" t="s">
        <v>336</v>
      </c>
      <c r="AX289" s="2">
        <v>90038825</v>
      </c>
      <c r="AY289" s="2" t="s">
        <v>6699</v>
      </c>
      <c r="AZ289" s="2" t="s">
        <v>6700</v>
      </c>
      <c r="BA289" s="2" t="s">
        <v>6701</v>
      </c>
      <c r="BB289" s="2">
        <v>0</v>
      </c>
      <c r="BC289" s="3" t="str">
        <f>HYPERLINK("https://patentscout.innography.com/share/1ckY9NrpsCSQ9qVQrhEVxQ%3D%3D","KR102428990")</f>
        <v>KR102428990</v>
      </c>
      <c r="BD289" s="2" t="s">
        <v>6702</v>
      </c>
      <c r="BE289" s="2" t="s">
        <v>6703</v>
      </c>
      <c r="BF289" s="2" t="s">
        <v>6704</v>
      </c>
      <c r="BG289" s="2" t="str">
        <f>HYPERLINK("https://patentscout.innography.com/share/1ckY9NrpsCSQ9qVQrhEVxQ%3D%3D/download", "Download PDF")</f>
        <v>Download PDF</v>
      </c>
      <c r="BH289" s="2" t="s">
        <v>6705</v>
      </c>
      <c r="BI289" s="2"/>
      <c r="BJ289" s="2" t="s">
        <v>6706</v>
      </c>
      <c r="BK289" s="2" t="s">
        <v>6706</v>
      </c>
      <c r="BL289" s="2" t="s">
        <v>6706</v>
      </c>
      <c r="BM289" s="2"/>
      <c r="BN289" s="2"/>
      <c r="BO289" s="2"/>
      <c r="BP289" s="2"/>
      <c r="BQ289" s="2"/>
      <c r="BR289" s="2"/>
      <c r="BS289" s="2"/>
      <c r="BT289" s="2"/>
      <c r="BU289" s="2"/>
      <c r="BV289" s="2"/>
      <c r="BW289" s="2"/>
      <c r="BX289" s="2"/>
      <c r="BY289" s="2"/>
      <c r="BZ289" s="2"/>
      <c r="CA289" s="2"/>
      <c r="CB289" s="2"/>
      <c r="CC289" s="2" t="s">
        <v>243</v>
      </c>
      <c r="CD289" s="2" t="str">
        <f>HYPERLINK("https://patentscout.innography.com/share/1ckY9NrpsCSQ9qVQrhEVxQ%3D%3D", "Innography Link")</f>
        <v>Innography Link</v>
      </c>
      <c r="CE289" s="2"/>
      <c r="CF289" s="2"/>
      <c r="CG289" s="2"/>
      <c r="CH289" s="2"/>
      <c r="CI289" s="2"/>
      <c r="CK289" s="2" t="s">
        <v>6707</v>
      </c>
      <c r="CL289" s="2" t="s">
        <v>780</v>
      </c>
      <c r="CM289" s="2" t="s">
        <v>444</v>
      </c>
      <c r="CN289" s="2" t="s">
        <v>371</v>
      </c>
      <c r="CO289" s="2" t="s">
        <v>782</v>
      </c>
      <c r="CP289" s="2" t="s">
        <v>6708</v>
      </c>
      <c r="CQ289" s="2" t="s">
        <v>6709</v>
      </c>
    </row>
    <row r="290" spans="1:98" ht="152" customHeight="1" x14ac:dyDescent="0.45">
      <c r="A290" s="2">
        <v>0</v>
      </c>
      <c r="B290" s="2">
        <v>0</v>
      </c>
      <c r="C290" s="2"/>
      <c r="D290" s="2"/>
      <c r="E290" s="2" t="s">
        <v>6710</v>
      </c>
      <c r="F290" s="2"/>
      <c r="G290" s="2" t="s">
        <v>6710</v>
      </c>
      <c r="H290" s="2" t="s">
        <v>6711</v>
      </c>
      <c r="I290" s="2" t="s">
        <v>6712</v>
      </c>
      <c r="J290" s="2" t="s">
        <v>6713</v>
      </c>
      <c r="K290" s="2" t="s">
        <v>6710</v>
      </c>
      <c r="L290" s="2" t="s">
        <v>6710</v>
      </c>
      <c r="M290" s="2" t="s">
        <v>6714</v>
      </c>
      <c r="N290" s="2" t="s">
        <v>6715</v>
      </c>
      <c r="O290" s="2"/>
      <c r="P290" s="2" t="s">
        <v>6716</v>
      </c>
      <c r="Q290" s="2" t="s">
        <v>6717</v>
      </c>
      <c r="R290" s="2" t="s">
        <v>6717</v>
      </c>
      <c r="S290" s="2" t="s">
        <v>6716</v>
      </c>
      <c r="T290" s="2">
        <v>74</v>
      </c>
      <c r="U290" s="2">
        <v>9</v>
      </c>
      <c r="V290" s="2" t="s">
        <v>6718</v>
      </c>
      <c r="W290" s="2" t="s">
        <v>6719</v>
      </c>
      <c r="X290" s="2">
        <v>3688</v>
      </c>
      <c r="Y290" s="2" t="s">
        <v>6720</v>
      </c>
      <c r="Z290" s="2" t="s">
        <v>6721</v>
      </c>
      <c r="AA290" s="2" t="s">
        <v>6722</v>
      </c>
      <c r="AB290" s="2">
        <v>14</v>
      </c>
      <c r="AC290" s="2" t="s">
        <v>139</v>
      </c>
      <c r="AD290" s="2" t="s">
        <v>6723</v>
      </c>
      <c r="AE290" s="2">
        <v>48</v>
      </c>
      <c r="AF290" s="2" t="s">
        <v>141</v>
      </c>
      <c r="AG290" s="2"/>
      <c r="AH290" s="2"/>
      <c r="AI290" s="2"/>
      <c r="AJ290" s="2"/>
      <c r="AK290" s="2" t="s">
        <v>142</v>
      </c>
      <c r="AL290" s="2" t="s">
        <v>6724</v>
      </c>
      <c r="AM290" s="2" t="s">
        <v>6725</v>
      </c>
      <c r="AN290" s="2" t="s">
        <v>1349</v>
      </c>
      <c r="AO290" s="2" t="s">
        <v>1349</v>
      </c>
      <c r="AP290" s="2">
        <v>705348000</v>
      </c>
      <c r="AQ290" s="2">
        <v>705348000</v>
      </c>
      <c r="AR290" s="2" t="s">
        <v>253</v>
      </c>
      <c r="AS290" s="2">
        <v>83194973</v>
      </c>
      <c r="AT290" s="2" t="s">
        <v>6726</v>
      </c>
      <c r="AU290" s="2"/>
      <c r="AV290" s="2"/>
      <c r="AW290" s="2" t="s">
        <v>148</v>
      </c>
      <c r="AX290" s="2">
        <v>90262597</v>
      </c>
      <c r="AY290" s="2" t="s">
        <v>6727</v>
      </c>
      <c r="AZ290" s="2" t="s">
        <v>6728</v>
      </c>
      <c r="BA290" s="2" t="s">
        <v>6729</v>
      </c>
      <c r="BB290" s="2">
        <v>0</v>
      </c>
      <c r="BC290" s="3" t="str">
        <f>HYPERLINK("https://patentscout.innography.com/share/21aCjLrQa4C8kkCplwWifA%3D%3D","US20220292539")</f>
        <v>US20220292539</v>
      </c>
      <c r="BD290" s="2" t="s">
        <v>6730</v>
      </c>
      <c r="BE290" s="2" t="s">
        <v>6731</v>
      </c>
      <c r="BF290" s="2" t="s">
        <v>6732</v>
      </c>
      <c r="BG290" s="2" t="str">
        <f>HYPERLINK("https://patentscout.innography.com/share/21aCjLrQa4C8kkCplwWifA%3D%3D/download", "Download PDF")</f>
        <v>Download PDF</v>
      </c>
      <c r="BH290" s="2" t="s">
        <v>6733</v>
      </c>
      <c r="BI290" s="2"/>
      <c r="BJ290" s="2" t="s">
        <v>6727</v>
      </c>
      <c r="BK290" s="2" t="s">
        <v>6727</v>
      </c>
      <c r="BL290" s="2" t="s">
        <v>6727</v>
      </c>
      <c r="BM290" s="2"/>
      <c r="BN290" s="2"/>
      <c r="BO290" s="2"/>
      <c r="BP290" s="2"/>
      <c r="BQ290" s="2"/>
      <c r="BR290" s="2"/>
      <c r="BS290" s="2"/>
      <c r="BT290" s="2"/>
      <c r="BU290" s="2"/>
      <c r="BV290" s="2"/>
      <c r="BW290" s="2"/>
      <c r="BX290" s="2"/>
      <c r="BY290" s="2"/>
      <c r="BZ290" s="2"/>
      <c r="CA290" s="2"/>
      <c r="CB290" s="2"/>
      <c r="CC290" s="2" t="s">
        <v>158</v>
      </c>
      <c r="CD290" s="2" t="str">
        <f>HYPERLINK("https://patentscout.innography.com/share/21aCjLrQa4C8kkCplwWifA%3D%3D", "Innography Link")</f>
        <v>Innography Link</v>
      </c>
      <c r="CE290" s="2"/>
      <c r="CF290" s="2"/>
      <c r="CG290" s="2"/>
      <c r="CH290" s="2"/>
      <c r="CI290" s="2"/>
      <c r="CK290" s="2" t="s">
        <v>6734</v>
      </c>
      <c r="CL290" s="2" t="s">
        <v>6735</v>
      </c>
    </row>
    <row r="291" spans="1:98" ht="152" customHeight="1" x14ac:dyDescent="0.45">
      <c r="A291" s="2">
        <v>0</v>
      </c>
      <c r="B291" s="2">
        <v>4</v>
      </c>
      <c r="C291" s="2" t="s">
        <v>6736</v>
      </c>
      <c r="D291" s="2"/>
      <c r="E291" s="2" t="s">
        <v>3551</v>
      </c>
      <c r="F291" s="2"/>
      <c r="G291" s="2" t="s">
        <v>3551</v>
      </c>
      <c r="H291" s="2" t="s">
        <v>6737</v>
      </c>
      <c r="I291" s="2" t="s">
        <v>3974</v>
      </c>
      <c r="J291" s="2" t="s">
        <v>6738</v>
      </c>
      <c r="K291" s="2" t="s">
        <v>3551</v>
      </c>
      <c r="L291" s="2" t="s">
        <v>3551</v>
      </c>
      <c r="M291" s="2" t="s">
        <v>6739</v>
      </c>
      <c r="N291" s="2" t="s">
        <v>6740</v>
      </c>
      <c r="O291" s="2"/>
      <c r="P291" s="2" t="s">
        <v>6741</v>
      </c>
      <c r="Q291" s="2" t="s">
        <v>6742</v>
      </c>
      <c r="R291" s="2" t="s">
        <v>6743</v>
      </c>
      <c r="S291" s="2" t="s">
        <v>6741</v>
      </c>
      <c r="T291" s="2">
        <v>74</v>
      </c>
      <c r="U291" s="2">
        <v>26</v>
      </c>
      <c r="V291" s="2" t="s">
        <v>6744</v>
      </c>
      <c r="W291" s="2"/>
      <c r="X291" s="2"/>
      <c r="Y291" s="2"/>
      <c r="Z291" s="2" t="s">
        <v>6745</v>
      </c>
      <c r="AA291" s="2" t="s">
        <v>6746</v>
      </c>
      <c r="AB291" s="2">
        <v>63</v>
      </c>
      <c r="AC291" s="2" t="s">
        <v>139</v>
      </c>
      <c r="AD291" s="2" t="s">
        <v>6747</v>
      </c>
      <c r="AE291" s="2">
        <v>154</v>
      </c>
      <c r="AF291" s="2" t="s">
        <v>141</v>
      </c>
      <c r="AG291" s="2" t="s">
        <v>6558</v>
      </c>
      <c r="AH291" s="2"/>
      <c r="AI291" s="2"/>
      <c r="AJ291" s="2"/>
      <c r="AK291" s="2" t="s">
        <v>619</v>
      </c>
      <c r="AL291" s="2" t="s">
        <v>6748</v>
      </c>
      <c r="AM291" s="2" t="s">
        <v>6749</v>
      </c>
      <c r="AN291" s="2" t="s">
        <v>6750</v>
      </c>
      <c r="AO291" s="2" t="s">
        <v>6751</v>
      </c>
      <c r="AP291" s="2">
        <v>600013000</v>
      </c>
      <c r="AQ291" s="2">
        <v>600013000</v>
      </c>
      <c r="AR291" s="2" t="s">
        <v>146</v>
      </c>
      <c r="AS291" s="2">
        <v>82058334</v>
      </c>
      <c r="AT291" s="2" t="s">
        <v>6752</v>
      </c>
      <c r="AU291" s="2"/>
      <c r="AV291" s="2"/>
      <c r="AW291" s="2" t="s">
        <v>6753</v>
      </c>
      <c r="AX291" s="2">
        <v>91071065</v>
      </c>
      <c r="AY291" s="2" t="s">
        <v>6754</v>
      </c>
      <c r="AZ291" s="2" t="s">
        <v>6755</v>
      </c>
      <c r="BA291" s="2" t="s">
        <v>6756</v>
      </c>
      <c r="BB291" s="2">
        <v>0</v>
      </c>
      <c r="BC291" s="3" t="str">
        <f>HYPERLINK("https://patentscout.innography.com/share/Dm501_DNJzTpFhEQHGD7FA%3D%3D","WO2022203640")</f>
        <v>WO2022203640</v>
      </c>
      <c r="BD291" s="2" t="s">
        <v>6757</v>
      </c>
      <c r="BE291" s="2" t="s">
        <v>6758</v>
      </c>
      <c r="BF291" s="2" t="s">
        <v>6759</v>
      </c>
      <c r="BG291" s="2" t="str">
        <f>HYPERLINK("https://patentscout.innography.com/share/Dm501_DNJzTpFhEQHGD7FA%3D%3D/download", "Download PDF")</f>
        <v>Download PDF</v>
      </c>
      <c r="BH291" s="2" t="s">
        <v>6760</v>
      </c>
      <c r="BI291" s="2"/>
      <c r="BJ291" s="2" t="s">
        <v>6761</v>
      </c>
      <c r="BK291" s="2" t="s">
        <v>6754</v>
      </c>
      <c r="BL291" s="2" t="s">
        <v>6754</v>
      </c>
      <c r="BM291" s="2"/>
      <c r="BN291" s="2"/>
      <c r="BO291" s="2"/>
      <c r="BP291" s="2"/>
      <c r="BQ291" s="2"/>
      <c r="BR291" s="2"/>
      <c r="BS291" s="2"/>
      <c r="BT291" s="2"/>
      <c r="BU291" s="2"/>
      <c r="BV291" s="2"/>
      <c r="BW291" s="2"/>
      <c r="BX291" s="2"/>
      <c r="BY291" s="2"/>
      <c r="BZ291" s="2"/>
      <c r="CA291" s="2"/>
      <c r="CB291" s="2"/>
      <c r="CC291" s="2" t="s">
        <v>635</v>
      </c>
      <c r="CD291" s="2" t="str">
        <f>HYPERLINK("https://patentscout.innography.com/share/Dm501_DNJzTpFhEQHGD7FA%3D%3D", "Innography Link")</f>
        <v>Innography Link</v>
      </c>
      <c r="CE291" s="2"/>
      <c r="CF291" s="2"/>
      <c r="CG291" s="2"/>
      <c r="CH291" s="2"/>
      <c r="CI291" s="2"/>
      <c r="CK291" s="2" t="s">
        <v>4840</v>
      </c>
      <c r="CL291" s="2" t="s">
        <v>6762</v>
      </c>
      <c r="CM291" s="2" t="s">
        <v>6763</v>
      </c>
      <c r="CN291" s="2" t="s">
        <v>6764</v>
      </c>
      <c r="CO291" s="2" t="s">
        <v>6765</v>
      </c>
      <c r="CP291" s="2" t="s">
        <v>6766</v>
      </c>
    </row>
    <row r="292" spans="1:98" ht="152" customHeight="1" x14ac:dyDescent="0.45">
      <c r="A292" s="2">
        <v>0</v>
      </c>
      <c r="B292" s="2">
        <v>8</v>
      </c>
      <c r="C292" s="2" t="s">
        <v>6767</v>
      </c>
      <c r="D292" s="2"/>
      <c r="E292" s="2"/>
      <c r="F292" s="2" t="s">
        <v>5821</v>
      </c>
      <c r="G292" s="2" t="s">
        <v>5821</v>
      </c>
      <c r="H292" s="2" t="s">
        <v>2061</v>
      </c>
      <c r="I292" s="2" t="s">
        <v>2061</v>
      </c>
      <c r="J292" s="2" t="s">
        <v>2062</v>
      </c>
      <c r="K292" s="2" t="s">
        <v>5821</v>
      </c>
      <c r="L292" s="2" t="s">
        <v>5821</v>
      </c>
      <c r="M292" s="2" t="s">
        <v>6768</v>
      </c>
      <c r="N292" s="2" t="s">
        <v>6769</v>
      </c>
      <c r="O292" s="2"/>
      <c r="P292" s="2" t="s">
        <v>6770</v>
      </c>
      <c r="Q292" s="2" t="s">
        <v>6770</v>
      </c>
      <c r="R292" s="2" t="s">
        <v>6771</v>
      </c>
      <c r="S292" s="2" t="s">
        <v>6770</v>
      </c>
      <c r="T292" s="2">
        <v>74</v>
      </c>
      <c r="U292" s="2">
        <v>5</v>
      </c>
      <c r="V292" s="2" t="s">
        <v>6772</v>
      </c>
      <c r="W292" s="2"/>
      <c r="X292" s="2"/>
      <c r="Y292" s="2"/>
      <c r="Z292" s="2" t="s">
        <v>6773</v>
      </c>
      <c r="AA292" s="2" t="s">
        <v>6774</v>
      </c>
      <c r="AB292" s="2">
        <v>3</v>
      </c>
      <c r="AC292" s="2" t="s">
        <v>235</v>
      </c>
      <c r="AD292" s="2" t="s">
        <v>6775</v>
      </c>
      <c r="AE292" s="2">
        <v>854</v>
      </c>
      <c r="AF292" s="2" t="s">
        <v>141</v>
      </c>
      <c r="AG292" s="2"/>
      <c r="AH292" s="2"/>
      <c r="AI292" s="2"/>
      <c r="AJ292" s="2"/>
      <c r="AK292" s="2" t="s">
        <v>217</v>
      </c>
      <c r="AL292" s="2" t="s">
        <v>1373</v>
      </c>
      <c r="AM292" s="2" t="s">
        <v>1373</v>
      </c>
      <c r="AN292" s="2" t="s">
        <v>539</v>
      </c>
      <c r="AO292" s="2" t="s">
        <v>6776</v>
      </c>
      <c r="AP292" s="2">
        <v>705348000</v>
      </c>
      <c r="AQ292" s="2">
        <v>705348000</v>
      </c>
      <c r="AR292" s="2" t="s">
        <v>253</v>
      </c>
      <c r="AS292" s="2">
        <v>84235624</v>
      </c>
      <c r="AT292" s="2" t="s">
        <v>6777</v>
      </c>
      <c r="AU292" s="2"/>
      <c r="AV292" s="2"/>
      <c r="AW292" s="2" t="s">
        <v>336</v>
      </c>
      <c r="AX292" s="2">
        <v>92813862</v>
      </c>
      <c r="AY292" s="2" t="s">
        <v>6778</v>
      </c>
      <c r="AZ292" s="2" t="s">
        <v>6779</v>
      </c>
      <c r="BA292" s="2" t="s">
        <v>2073</v>
      </c>
      <c r="BB292" s="2">
        <v>0</v>
      </c>
      <c r="BC292" s="3" t="str">
        <f>HYPERLINK("https://patentscout.innography.com/share/5L04XLYnaT22-6mFi8tZJA%3D%3D","KR102470154")</f>
        <v>KR102470154</v>
      </c>
      <c r="BD292" s="2" t="s">
        <v>6780</v>
      </c>
      <c r="BE292" s="2" t="s">
        <v>6781</v>
      </c>
      <c r="BF292" s="2" t="s">
        <v>6782</v>
      </c>
      <c r="BG292" s="2" t="str">
        <f>HYPERLINK("https://patentscout.innography.com/share/5L04XLYnaT22-6mFi8tZJA%3D%3D/download", "Download PDF")</f>
        <v>Download PDF</v>
      </c>
      <c r="BH292" s="2" t="s">
        <v>6783</v>
      </c>
      <c r="BI292" s="2"/>
      <c r="BJ292" s="2" t="s">
        <v>6784</v>
      </c>
      <c r="BK292" s="2" t="s">
        <v>6784</v>
      </c>
      <c r="BL292" s="2" t="s">
        <v>6784</v>
      </c>
      <c r="BM292" s="2"/>
      <c r="BN292" s="2"/>
      <c r="BO292" s="2"/>
      <c r="BP292" s="2"/>
      <c r="BQ292" s="2"/>
      <c r="BR292" s="2"/>
      <c r="BS292" s="2"/>
      <c r="BT292" s="2"/>
      <c r="BU292" s="2"/>
      <c r="BV292" s="2"/>
      <c r="BW292" s="2"/>
      <c r="BX292" s="2"/>
      <c r="BY292" s="2"/>
      <c r="BZ292" s="2"/>
      <c r="CA292" s="2"/>
      <c r="CB292" s="2"/>
      <c r="CC292" s="2" t="s">
        <v>243</v>
      </c>
      <c r="CD292" s="2" t="str">
        <f>HYPERLINK("https://patentscout.innography.com/share/5L04XLYnaT22-6mFi8tZJA%3D%3D", "Innography Link")</f>
        <v>Innography Link</v>
      </c>
      <c r="CE292" s="2"/>
      <c r="CF292" s="2"/>
      <c r="CG292" s="2"/>
      <c r="CH292" s="2"/>
      <c r="CI292" s="2"/>
      <c r="CK292" s="2" t="s">
        <v>6785</v>
      </c>
      <c r="CL292" s="2" t="s">
        <v>780</v>
      </c>
    </row>
    <row r="293" spans="1:98" ht="152" customHeight="1" x14ac:dyDescent="0.45">
      <c r="A293" s="2">
        <v>0</v>
      </c>
      <c r="B293" s="2">
        <v>7</v>
      </c>
      <c r="C293" s="2" t="s">
        <v>6786</v>
      </c>
      <c r="D293" s="2"/>
      <c r="E293" s="2" t="s">
        <v>6787</v>
      </c>
      <c r="F293" s="2" t="s">
        <v>501</v>
      </c>
      <c r="G293" s="2" t="s">
        <v>6787</v>
      </c>
      <c r="H293" s="2" t="s">
        <v>6788</v>
      </c>
      <c r="I293" s="2" t="s">
        <v>6788</v>
      </c>
      <c r="J293" s="2" t="s">
        <v>501</v>
      </c>
      <c r="K293" s="2" t="s">
        <v>6787</v>
      </c>
      <c r="L293" s="2" t="s">
        <v>6787</v>
      </c>
      <c r="M293" s="2" t="s">
        <v>6789</v>
      </c>
      <c r="N293" s="2" t="s">
        <v>6790</v>
      </c>
      <c r="O293" s="2" t="s">
        <v>6791</v>
      </c>
      <c r="P293" s="2" t="s">
        <v>3757</v>
      </c>
      <c r="Q293" s="2" t="s">
        <v>3758</v>
      </c>
      <c r="R293" s="2" t="s">
        <v>3759</v>
      </c>
      <c r="S293" s="2" t="s">
        <v>3757</v>
      </c>
      <c r="T293" s="2">
        <v>74</v>
      </c>
      <c r="U293" s="2">
        <v>6</v>
      </c>
      <c r="V293" s="2" t="s">
        <v>6792</v>
      </c>
      <c r="W293" s="2"/>
      <c r="X293" s="2"/>
      <c r="Y293" s="2"/>
      <c r="Z293" s="2" t="s">
        <v>6793</v>
      </c>
      <c r="AA293" s="2" t="s">
        <v>6793</v>
      </c>
      <c r="AB293" s="2">
        <v>5</v>
      </c>
      <c r="AC293" s="2" t="s">
        <v>214</v>
      </c>
      <c r="AD293" s="2" t="s">
        <v>6794</v>
      </c>
      <c r="AE293" s="2">
        <v>122</v>
      </c>
      <c r="AF293" s="2" t="s">
        <v>180</v>
      </c>
      <c r="AG293" s="2"/>
      <c r="AH293" s="2"/>
      <c r="AI293" s="2" t="s">
        <v>6795</v>
      </c>
      <c r="AJ293" s="2"/>
      <c r="AK293" s="2" t="s">
        <v>1108</v>
      </c>
      <c r="AL293" s="2" t="s">
        <v>6796</v>
      </c>
      <c r="AM293" s="2" t="s">
        <v>6796</v>
      </c>
      <c r="AN293" s="2" t="s">
        <v>251</v>
      </c>
      <c r="AO293" s="2" t="s">
        <v>6797</v>
      </c>
      <c r="AP293" s="2">
        <v>345540000</v>
      </c>
      <c r="AQ293" s="2">
        <v>345540000</v>
      </c>
      <c r="AR293" s="2" t="s">
        <v>253</v>
      </c>
      <c r="AS293" s="2">
        <v>43364008</v>
      </c>
      <c r="AT293" s="2" t="s">
        <v>6798</v>
      </c>
      <c r="AU293" s="2"/>
      <c r="AV293" s="2"/>
      <c r="AW293" s="2" t="s">
        <v>1111</v>
      </c>
      <c r="AX293" s="2">
        <v>36466525</v>
      </c>
      <c r="AY293" s="2" t="s">
        <v>6799</v>
      </c>
      <c r="AZ293" s="2" t="s">
        <v>6800</v>
      </c>
      <c r="BA293" s="2" t="s">
        <v>6801</v>
      </c>
      <c r="BB293" s="2">
        <v>0</v>
      </c>
      <c r="BC293" s="3" t="str">
        <f>HYPERLINK("https://patentscout.innography.com/share/zxLB_zoePuXaqetTClTwKw%3D%3D","JP2010267095")</f>
        <v>JP2010267095</v>
      </c>
      <c r="BD293" s="2" t="s">
        <v>6802</v>
      </c>
      <c r="BE293" s="2" t="s">
        <v>6803</v>
      </c>
      <c r="BF293" s="2" t="s">
        <v>6804</v>
      </c>
      <c r="BG293" s="2" t="str">
        <f>HYPERLINK("https://patentscout.innography.com/share/zxLB_zoePuXaqetTClTwKw%3D%3D/download", "Download PDF")</f>
        <v>Download PDF</v>
      </c>
      <c r="BH293" s="2" t="s">
        <v>6805</v>
      </c>
      <c r="BI293" s="2"/>
      <c r="BJ293" s="2" t="s">
        <v>6806</v>
      </c>
      <c r="BK293" s="2" t="s">
        <v>6806</v>
      </c>
      <c r="BL293" s="2" t="s">
        <v>6806</v>
      </c>
      <c r="BM293" s="2"/>
      <c r="BN293" s="2"/>
      <c r="BO293" s="2"/>
      <c r="BP293" s="2"/>
      <c r="BQ293" s="2"/>
      <c r="BR293" s="2"/>
      <c r="BS293" s="2"/>
      <c r="BT293" s="2"/>
      <c r="BU293" s="2"/>
      <c r="BV293" s="2"/>
      <c r="BW293" s="2"/>
      <c r="BX293" s="2"/>
      <c r="BY293" s="2"/>
      <c r="BZ293" s="2"/>
      <c r="CA293" s="2"/>
      <c r="CB293" s="2"/>
      <c r="CC293" s="2" t="s">
        <v>1120</v>
      </c>
      <c r="CD293" s="2" t="str">
        <f>HYPERLINK("https://patentscout.innography.com/share/zxLB_zoePuXaqetTClTwKw%3D%3D", "Innography Link")</f>
        <v>Innography Link</v>
      </c>
      <c r="CE293" s="2"/>
      <c r="CF293" s="2"/>
      <c r="CG293" s="2"/>
      <c r="CH293" s="2"/>
      <c r="CI293" s="2"/>
      <c r="CK293" s="2" t="s">
        <v>6807</v>
      </c>
      <c r="CL293" s="2" t="s">
        <v>6808</v>
      </c>
    </row>
    <row r="294" spans="1:98" ht="152" customHeight="1" x14ac:dyDescent="0.45">
      <c r="A294" s="2">
        <v>0</v>
      </c>
      <c r="B294" s="2">
        <v>0</v>
      </c>
      <c r="C294" s="2"/>
      <c r="D294" s="2"/>
      <c r="E294" s="2" t="s">
        <v>6787</v>
      </c>
      <c r="F294" s="2" t="s">
        <v>501</v>
      </c>
      <c r="G294" s="2" t="s">
        <v>501</v>
      </c>
      <c r="H294" s="2" t="s">
        <v>6788</v>
      </c>
      <c r="I294" s="2" t="s">
        <v>6788</v>
      </c>
      <c r="J294" s="2" t="s">
        <v>6809</v>
      </c>
      <c r="K294" s="2" t="s">
        <v>6787</v>
      </c>
      <c r="L294" s="2" t="s">
        <v>6787</v>
      </c>
      <c r="M294" s="2" t="s">
        <v>6810</v>
      </c>
      <c r="N294" s="2" t="s">
        <v>6811</v>
      </c>
      <c r="O294" s="2" t="s">
        <v>6791</v>
      </c>
      <c r="P294" s="2" t="s">
        <v>3757</v>
      </c>
      <c r="Q294" s="2" t="s">
        <v>3758</v>
      </c>
      <c r="R294" s="2" t="s">
        <v>3759</v>
      </c>
      <c r="S294" s="2" t="s">
        <v>3757</v>
      </c>
      <c r="T294" s="2">
        <v>74</v>
      </c>
      <c r="U294" s="2">
        <v>12</v>
      </c>
      <c r="V294" s="2" t="s">
        <v>6792</v>
      </c>
      <c r="W294" s="2"/>
      <c r="X294" s="2"/>
      <c r="Y294" s="2"/>
      <c r="Z294" s="2" t="s">
        <v>6812</v>
      </c>
      <c r="AA294" s="2" t="s">
        <v>6812</v>
      </c>
      <c r="AB294" s="2">
        <v>5</v>
      </c>
      <c r="AC294" s="2" t="s">
        <v>250</v>
      </c>
      <c r="AD294" s="2" t="s">
        <v>6794</v>
      </c>
      <c r="AE294" s="2">
        <v>122</v>
      </c>
      <c r="AF294" s="2" t="s">
        <v>141</v>
      </c>
      <c r="AG294" s="2"/>
      <c r="AH294" s="2"/>
      <c r="AI294" s="2" t="s">
        <v>6806</v>
      </c>
      <c r="AJ294" s="2"/>
      <c r="AK294" s="2" t="s">
        <v>1108</v>
      </c>
      <c r="AL294" s="2" t="s">
        <v>6796</v>
      </c>
      <c r="AM294" s="2" t="s">
        <v>6796</v>
      </c>
      <c r="AN294" s="2" t="s">
        <v>251</v>
      </c>
      <c r="AO294" s="2" t="s">
        <v>6797</v>
      </c>
      <c r="AP294" s="2">
        <v>711100000</v>
      </c>
      <c r="AQ294" s="2">
        <v>711100000</v>
      </c>
      <c r="AR294" s="2" t="s">
        <v>541</v>
      </c>
      <c r="AS294" s="2">
        <v>43364008</v>
      </c>
      <c r="AT294" s="2" t="s">
        <v>6798</v>
      </c>
      <c r="AU294" s="2"/>
      <c r="AV294" s="2"/>
      <c r="AW294" s="2" t="s">
        <v>3404</v>
      </c>
      <c r="AX294" s="2">
        <v>36466525</v>
      </c>
      <c r="AY294" s="2" t="s">
        <v>6799</v>
      </c>
      <c r="AZ294" s="2" t="s">
        <v>6800</v>
      </c>
      <c r="BA294" s="2" t="s">
        <v>6813</v>
      </c>
      <c r="BB294" s="2">
        <v>0</v>
      </c>
      <c r="BC294" s="3" t="str">
        <f>HYPERLINK("https://patentscout.innography.com/share/32j7p9obtFs6pFCzpjSlWg%3D%3D","JP4937298")</f>
        <v>JP4937298</v>
      </c>
      <c r="BD294" s="2" t="s">
        <v>6814</v>
      </c>
      <c r="BE294" s="2" t="s">
        <v>6803</v>
      </c>
      <c r="BF294" s="2" t="s">
        <v>6815</v>
      </c>
      <c r="BG294" s="2" t="str">
        <f>HYPERLINK("https://patentscout.innography.com/share/32j7p9obtFs6pFCzpjSlWg%3D%3D/download", "Download PDF")</f>
        <v>Download PDF</v>
      </c>
      <c r="BH294" s="2" t="s">
        <v>6816</v>
      </c>
      <c r="BI294" s="2"/>
      <c r="BJ294" s="2" t="s">
        <v>6806</v>
      </c>
      <c r="BK294" s="2" t="s">
        <v>6806</v>
      </c>
      <c r="BL294" s="2" t="s">
        <v>6806</v>
      </c>
      <c r="BM294" s="2"/>
      <c r="BN294" s="2"/>
      <c r="BO294" s="2"/>
      <c r="BP294" s="2"/>
      <c r="BQ294" s="2"/>
      <c r="BR294" s="2"/>
      <c r="BS294" s="2"/>
      <c r="BT294" s="2"/>
      <c r="BU294" s="2"/>
      <c r="BV294" s="2"/>
      <c r="BW294" s="2"/>
      <c r="BX294" s="2"/>
      <c r="BY294" s="2"/>
      <c r="BZ294" s="2"/>
      <c r="CA294" s="2"/>
      <c r="CB294" s="2"/>
      <c r="CC294" s="2" t="s">
        <v>1971</v>
      </c>
      <c r="CD294" s="2" t="str">
        <f>HYPERLINK("https://patentscout.innography.com/share/32j7p9obtFs6pFCzpjSlWg%3D%3D", "Innography Link")</f>
        <v>Innography Link</v>
      </c>
      <c r="CE294" s="2"/>
      <c r="CF294" s="2"/>
      <c r="CG294" s="2"/>
      <c r="CH294" s="2"/>
      <c r="CI294" s="2"/>
      <c r="CK294" s="2" t="s">
        <v>6807</v>
      </c>
      <c r="CL294" s="2" t="s">
        <v>6817</v>
      </c>
    </row>
    <row r="295" spans="1:98" ht="152" customHeight="1" x14ac:dyDescent="0.45">
      <c r="A295" s="2">
        <v>0</v>
      </c>
      <c r="B295" s="2">
        <v>0</v>
      </c>
      <c r="C295" s="2"/>
      <c r="D295" s="2"/>
      <c r="E295" s="2" t="s">
        <v>6818</v>
      </c>
      <c r="F295" s="2"/>
      <c r="G295" s="2" t="s">
        <v>6818</v>
      </c>
      <c r="H295" s="2" t="s">
        <v>6819</v>
      </c>
      <c r="I295" s="2" t="s">
        <v>6820</v>
      </c>
      <c r="J295" s="2" t="s">
        <v>6007</v>
      </c>
      <c r="K295" s="2" t="s">
        <v>6821</v>
      </c>
      <c r="L295" s="2" t="s">
        <v>6821</v>
      </c>
      <c r="M295" s="2" t="s">
        <v>6822</v>
      </c>
      <c r="N295" s="2" t="s">
        <v>6823</v>
      </c>
      <c r="O295" s="2" t="s">
        <v>6824</v>
      </c>
      <c r="P295" s="2" t="s">
        <v>6825</v>
      </c>
      <c r="Q295" s="2" t="s">
        <v>6825</v>
      </c>
      <c r="R295" s="2" t="s">
        <v>6826</v>
      </c>
      <c r="S295" s="2" t="s">
        <v>6825</v>
      </c>
      <c r="T295" s="2">
        <v>73</v>
      </c>
      <c r="U295" s="2">
        <v>8</v>
      </c>
      <c r="V295" s="2" t="s">
        <v>6827</v>
      </c>
      <c r="W295" s="2"/>
      <c r="X295" s="2"/>
      <c r="Y295" s="2"/>
      <c r="Z295" s="2" t="s">
        <v>6828</v>
      </c>
      <c r="AA295" s="2" t="s">
        <v>6829</v>
      </c>
      <c r="AB295" s="2">
        <v>12</v>
      </c>
      <c r="AC295" s="2" t="s">
        <v>214</v>
      </c>
      <c r="AD295" s="2" t="s">
        <v>6830</v>
      </c>
      <c r="AE295" s="2">
        <v>65</v>
      </c>
      <c r="AF295" s="2" t="s">
        <v>180</v>
      </c>
      <c r="AG295" s="2"/>
      <c r="AH295" s="2"/>
      <c r="AI295" s="2"/>
      <c r="AJ295" s="2"/>
      <c r="AK295" s="2" t="s">
        <v>1816</v>
      </c>
      <c r="AL295" s="2" t="s">
        <v>6831</v>
      </c>
      <c r="AM295" s="2" t="s">
        <v>6832</v>
      </c>
      <c r="AN295" s="2" t="s">
        <v>6833</v>
      </c>
      <c r="AO295" s="2" t="s">
        <v>6834</v>
      </c>
      <c r="AP295" s="2">
        <v>713340000</v>
      </c>
      <c r="AQ295" s="2">
        <v>713340000</v>
      </c>
      <c r="AR295" s="2" t="s">
        <v>253</v>
      </c>
      <c r="AS295" s="2">
        <v>64665745</v>
      </c>
      <c r="AT295" s="2" t="s">
        <v>6835</v>
      </c>
      <c r="AU295" s="2"/>
      <c r="AV295" s="2"/>
      <c r="AW295" s="2" t="s">
        <v>1821</v>
      </c>
      <c r="AX295" s="2">
        <v>73482663</v>
      </c>
      <c r="AY295" s="2" t="s">
        <v>6836</v>
      </c>
      <c r="AZ295" s="2" t="s">
        <v>6837</v>
      </c>
      <c r="BA295" s="2" t="s">
        <v>255</v>
      </c>
      <c r="BB295" s="2">
        <v>0</v>
      </c>
      <c r="BC295" s="3" t="str">
        <f>HYPERLINK("https://patentscout.innography.com/share/8qXw6nUAxRll5v63u_-4yA%3D%3D","CN110929003")</f>
        <v>CN110929003</v>
      </c>
      <c r="BD295" s="2" t="s">
        <v>6838</v>
      </c>
      <c r="BE295" s="2" t="s">
        <v>6839</v>
      </c>
      <c r="BF295" s="2" t="s">
        <v>6840</v>
      </c>
      <c r="BG295" s="2" t="str">
        <f>HYPERLINK("https://patentscout.innography.com/share/8qXw6nUAxRll5v63u_-4yA%3D%3D/download", "Download PDF")</f>
        <v>Download PDF</v>
      </c>
      <c r="BH295" s="2" t="s">
        <v>6841</v>
      </c>
      <c r="BI295" s="2"/>
      <c r="BJ295" s="2" t="s">
        <v>6842</v>
      </c>
      <c r="BK295" s="2" t="s">
        <v>6843</v>
      </c>
      <c r="BL295" s="2" t="s">
        <v>6843</v>
      </c>
      <c r="BM295" s="2"/>
      <c r="BN295" s="2"/>
      <c r="BO295" s="2"/>
      <c r="BP295" s="2"/>
      <c r="BQ295" s="2"/>
      <c r="BR295" s="2"/>
      <c r="BS295" s="2"/>
      <c r="BT295" s="2"/>
      <c r="BU295" s="2" t="s">
        <v>5791</v>
      </c>
      <c r="BV295" s="2" t="s">
        <v>6844</v>
      </c>
      <c r="BW295" s="2"/>
      <c r="BX295" s="2"/>
      <c r="BY295" s="2"/>
      <c r="BZ295" s="2"/>
      <c r="CA295" s="2"/>
      <c r="CB295" s="2"/>
      <c r="CC295" s="2" t="s">
        <v>1829</v>
      </c>
      <c r="CD295" s="2" t="str">
        <f>HYPERLINK("https://patentscout.innography.com/share/8qXw6nUAxRll5v63u_-4yA%3D%3D", "Innography Link")</f>
        <v>Innography Link</v>
      </c>
      <c r="CE295" s="2"/>
      <c r="CF295" s="2"/>
      <c r="CG295" s="2"/>
      <c r="CH295" s="2"/>
      <c r="CI295" s="2"/>
      <c r="CK295" s="2" t="s">
        <v>6845</v>
      </c>
      <c r="CL295" s="2" t="s">
        <v>6846</v>
      </c>
    </row>
    <row r="296" spans="1:98" ht="152" customHeight="1" x14ac:dyDescent="0.45">
      <c r="A296" s="2">
        <v>0</v>
      </c>
      <c r="B296" s="2">
        <v>0</v>
      </c>
      <c r="C296" s="2"/>
      <c r="D296" s="2"/>
      <c r="E296" s="2" t="s">
        <v>6847</v>
      </c>
      <c r="F296" s="2" t="s">
        <v>6848</v>
      </c>
      <c r="G296" s="2" t="s">
        <v>6848</v>
      </c>
      <c r="H296" s="2" t="s">
        <v>6849</v>
      </c>
      <c r="I296" s="2" t="s">
        <v>6850</v>
      </c>
      <c r="J296" s="2" t="s">
        <v>6851</v>
      </c>
      <c r="K296" s="2" t="s">
        <v>6852</v>
      </c>
      <c r="L296" s="2" t="s">
        <v>6852</v>
      </c>
      <c r="M296" s="2" t="s">
        <v>6853</v>
      </c>
      <c r="N296" s="2" t="s">
        <v>6854</v>
      </c>
      <c r="O296" s="2" t="s">
        <v>6855</v>
      </c>
      <c r="P296" s="2"/>
      <c r="Q296" s="2" t="s">
        <v>4194</v>
      </c>
      <c r="R296" s="2" t="s">
        <v>4195</v>
      </c>
      <c r="S296" s="2"/>
      <c r="T296" s="2">
        <v>73</v>
      </c>
      <c r="U296" s="2">
        <v>14</v>
      </c>
      <c r="V296" s="2" t="s">
        <v>6856</v>
      </c>
      <c r="W296" s="2"/>
      <c r="X296" s="2"/>
      <c r="Y296" s="2"/>
      <c r="Z296" s="2" t="s">
        <v>6857</v>
      </c>
      <c r="AA296" s="2" t="s">
        <v>6858</v>
      </c>
      <c r="AB296" s="2">
        <v>9</v>
      </c>
      <c r="AC296" s="2" t="s">
        <v>3878</v>
      </c>
      <c r="AD296" s="2" t="s">
        <v>6859</v>
      </c>
      <c r="AE296" s="2">
        <v>362</v>
      </c>
      <c r="AF296" s="2" t="s">
        <v>141</v>
      </c>
      <c r="AG296" s="2"/>
      <c r="AH296" s="2"/>
      <c r="AI296" s="2" t="s">
        <v>6860</v>
      </c>
      <c r="AJ296" s="2"/>
      <c r="AK296" s="2" t="s">
        <v>1816</v>
      </c>
      <c r="AL296" s="2" t="s">
        <v>6861</v>
      </c>
      <c r="AM296" s="2" t="s">
        <v>6862</v>
      </c>
      <c r="AN296" s="2" t="s">
        <v>6863</v>
      </c>
      <c r="AO296" s="2" t="s">
        <v>6863</v>
      </c>
      <c r="AP296" s="2">
        <v>370520000</v>
      </c>
      <c r="AQ296" s="2">
        <v>370520000</v>
      </c>
      <c r="AR296" s="2" t="s">
        <v>541</v>
      </c>
      <c r="AS296" s="2">
        <v>63037501</v>
      </c>
      <c r="AT296" s="2" t="s">
        <v>6864</v>
      </c>
      <c r="AU296" s="2"/>
      <c r="AV296" s="2"/>
      <c r="AW296" s="2" t="s">
        <v>3879</v>
      </c>
      <c r="AX296" s="2">
        <v>58552037</v>
      </c>
      <c r="AY296" s="2" t="s">
        <v>6865</v>
      </c>
      <c r="AZ296" s="2" t="s">
        <v>6866</v>
      </c>
      <c r="BA296" s="2" t="s">
        <v>6867</v>
      </c>
      <c r="BB296" s="2">
        <v>0</v>
      </c>
      <c r="BC296" s="3" t="str">
        <f>HYPERLINK("https://patentscout.innography.com/share/ZSYnZHsgtyEaZXJX3RSqDw%3D%3D","CN108400828")</f>
        <v>CN108400828</v>
      </c>
      <c r="BD296" s="2" t="s">
        <v>6868</v>
      </c>
      <c r="BE296" s="2" t="s">
        <v>6869</v>
      </c>
      <c r="BF296" s="2" t="s">
        <v>6870</v>
      </c>
      <c r="BG296" s="2" t="str">
        <f>HYPERLINK("https://patentscout.innography.com/share/ZSYnZHsgtyEaZXJX3RSqDw%3D%3D/download", "Download PDF")</f>
        <v>Download PDF</v>
      </c>
      <c r="BH296" s="2" t="s">
        <v>6871</v>
      </c>
      <c r="BI296" s="2"/>
      <c r="BJ296" s="2" t="s">
        <v>6860</v>
      </c>
      <c r="BK296" s="2" t="s">
        <v>6872</v>
      </c>
      <c r="BL296" s="2" t="s">
        <v>6872</v>
      </c>
      <c r="BM296" s="2"/>
      <c r="BN296" s="2"/>
      <c r="BO296" s="2"/>
      <c r="BP296" s="2"/>
      <c r="BQ296" s="2"/>
      <c r="BR296" s="2"/>
      <c r="BS296" s="2"/>
      <c r="BT296" s="2"/>
      <c r="BU296" s="2"/>
      <c r="BV296" s="2" t="s">
        <v>4212</v>
      </c>
      <c r="BW296" s="2"/>
      <c r="BX296" s="2"/>
      <c r="BY296" s="2"/>
      <c r="BZ296" s="2"/>
      <c r="CA296" s="2"/>
      <c r="CB296" s="2"/>
      <c r="CC296" s="2" t="s">
        <v>3884</v>
      </c>
      <c r="CD296" s="2" t="str">
        <f>HYPERLINK("https://patentscout.innography.com/share/ZSYnZHsgtyEaZXJX3RSqDw%3D%3D", "Innography Link")</f>
        <v>Innography Link</v>
      </c>
      <c r="CE296" s="2"/>
      <c r="CF296" s="2"/>
      <c r="CG296" s="2"/>
      <c r="CH296" s="2"/>
      <c r="CI296" s="2"/>
      <c r="CK296" s="2" t="s">
        <v>6873</v>
      </c>
      <c r="CL296" s="2" t="s">
        <v>6874</v>
      </c>
    </row>
    <row r="297" spans="1:98" ht="152" customHeight="1" x14ac:dyDescent="0.45">
      <c r="A297" s="2">
        <v>0</v>
      </c>
      <c r="B297" s="2">
        <v>5</v>
      </c>
      <c r="C297" s="2" t="s">
        <v>6875</v>
      </c>
      <c r="D297" s="2"/>
      <c r="E297" s="2" t="s">
        <v>6006</v>
      </c>
      <c r="F297" s="2"/>
      <c r="G297" s="2" t="s">
        <v>6006</v>
      </c>
      <c r="H297" s="2" t="s">
        <v>6849</v>
      </c>
      <c r="I297" s="2" t="s">
        <v>6850</v>
      </c>
      <c r="J297" s="2" t="s">
        <v>6876</v>
      </c>
      <c r="K297" s="2" t="s">
        <v>6852</v>
      </c>
      <c r="L297" s="2" t="s">
        <v>6852</v>
      </c>
      <c r="M297" s="2" t="s">
        <v>6853</v>
      </c>
      <c r="N297" s="2" t="s">
        <v>6854</v>
      </c>
      <c r="O297" s="2" t="s">
        <v>6855</v>
      </c>
      <c r="P297" s="2" t="s">
        <v>4194</v>
      </c>
      <c r="Q297" s="2" t="s">
        <v>4194</v>
      </c>
      <c r="R297" s="2" t="s">
        <v>4195</v>
      </c>
      <c r="S297" s="2" t="s">
        <v>4194</v>
      </c>
      <c r="T297" s="2">
        <v>73</v>
      </c>
      <c r="U297" s="2">
        <v>19</v>
      </c>
      <c r="V297" s="2" t="s">
        <v>6877</v>
      </c>
      <c r="W297" s="2"/>
      <c r="X297" s="2"/>
      <c r="Y297" s="2"/>
      <c r="Z297" s="2" t="s">
        <v>6878</v>
      </c>
      <c r="AA297" s="2" t="s">
        <v>6879</v>
      </c>
      <c r="AB297" s="2">
        <v>16</v>
      </c>
      <c r="AC297" s="2" t="s">
        <v>214</v>
      </c>
      <c r="AD297" s="2" t="s">
        <v>6859</v>
      </c>
      <c r="AE297" s="2">
        <v>202</v>
      </c>
      <c r="AF297" s="2" t="s">
        <v>141</v>
      </c>
      <c r="AG297" s="2"/>
      <c r="AH297" s="2"/>
      <c r="AI297" s="2"/>
      <c r="AJ297" s="2"/>
      <c r="AK297" s="2" t="s">
        <v>1816</v>
      </c>
      <c r="AL297" s="2" t="s">
        <v>6861</v>
      </c>
      <c r="AM297" s="2" t="s">
        <v>6862</v>
      </c>
      <c r="AN297" s="2" t="s">
        <v>6863</v>
      </c>
      <c r="AO297" s="2" t="s">
        <v>6880</v>
      </c>
      <c r="AP297" s="2">
        <v>370520000</v>
      </c>
      <c r="AQ297" s="2">
        <v>370520000</v>
      </c>
      <c r="AR297" s="2" t="s">
        <v>541</v>
      </c>
      <c r="AS297" s="2">
        <v>63037501</v>
      </c>
      <c r="AT297" s="2" t="s">
        <v>6864</v>
      </c>
      <c r="AU297" s="2"/>
      <c r="AV297" s="2"/>
      <c r="AW297" s="2" t="s">
        <v>1821</v>
      </c>
      <c r="AX297" s="2">
        <v>58552037</v>
      </c>
      <c r="AY297" s="2" t="s">
        <v>6865</v>
      </c>
      <c r="AZ297" s="2" t="s">
        <v>6881</v>
      </c>
      <c r="BA297" s="2" t="s">
        <v>6882</v>
      </c>
      <c r="BB297" s="2">
        <v>0</v>
      </c>
      <c r="BC297" s="3" t="str">
        <f>HYPERLINK("https://patentscout.innography.com/share/ajAY22GZ3hdoHpB2v3hDjA%3D%3D","CN111756468")</f>
        <v>CN111756468</v>
      </c>
      <c r="BD297" s="2" t="s">
        <v>6883</v>
      </c>
      <c r="BE297" s="2" t="s">
        <v>6303</v>
      </c>
      <c r="BF297" s="2" t="s">
        <v>6884</v>
      </c>
      <c r="BG297" s="2" t="str">
        <f>HYPERLINK("https://patentscout.innography.com/share/ajAY22GZ3hdoHpB2v3hDjA%3D%3D/download", "Download PDF")</f>
        <v>Download PDF</v>
      </c>
      <c r="BH297" s="2" t="s">
        <v>6885</v>
      </c>
      <c r="BI297" s="2"/>
      <c r="BJ297" s="2" t="s">
        <v>6886</v>
      </c>
      <c r="BK297" s="2" t="s">
        <v>6872</v>
      </c>
      <c r="BL297" s="2" t="s">
        <v>6872</v>
      </c>
      <c r="BM297" s="2"/>
      <c r="BN297" s="2"/>
      <c r="BO297" s="2"/>
      <c r="BP297" s="2"/>
      <c r="BQ297" s="2"/>
      <c r="BR297" s="2"/>
      <c r="BS297" s="2"/>
      <c r="BT297" s="2"/>
      <c r="BU297" s="2"/>
      <c r="BV297" s="2" t="s">
        <v>4212</v>
      </c>
      <c r="BW297" s="2"/>
      <c r="BX297" s="2"/>
      <c r="BY297" s="2"/>
      <c r="BZ297" s="2"/>
      <c r="CA297" s="2"/>
      <c r="CB297" s="2"/>
      <c r="CC297" s="2" t="s">
        <v>1829</v>
      </c>
      <c r="CD297" s="2" t="str">
        <f>HYPERLINK("https://patentscout.innography.com/share/ajAY22GZ3hdoHpB2v3hDjA%3D%3D", "Innography Link")</f>
        <v>Innography Link</v>
      </c>
      <c r="CE297" s="2"/>
      <c r="CF297" s="2"/>
      <c r="CG297" s="2"/>
      <c r="CH297" s="2"/>
      <c r="CI297" s="2"/>
      <c r="CK297" s="2" t="s">
        <v>6887</v>
      </c>
      <c r="CL297" s="2" t="s">
        <v>6888</v>
      </c>
    </row>
    <row r="298" spans="1:98" ht="152" customHeight="1" x14ac:dyDescent="0.45">
      <c r="A298" s="2">
        <v>0</v>
      </c>
      <c r="B298" s="2">
        <v>0</v>
      </c>
      <c r="C298" s="2"/>
      <c r="D298" s="2"/>
      <c r="E298" s="2" t="s">
        <v>6005</v>
      </c>
      <c r="F298" s="2"/>
      <c r="G298" s="2" t="s">
        <v>6005</v>
      </c>
      <c r="H298" s="2" t="s">
        <v>6006</v>
      </c>
      <c r="I298" s="2" t="s">
        <v>6007</v>
      </c>
      <c r="J298" s="2" t="s">
        <v>6008</v>
      </c>
      <c r="K298" s="2" t="s">
        <v>6005</v>
      </c>
      <c r="L298" s="2" t="s">
        <v>6005</v>
      </c>
      <c r="M298" s="2" t="s">
        <v>6889</v>
      </c>
      <c r="N298" s="2" t="s">
        <v>6010</v>
      </c>
      <c r="O298" s="2"/>
      <c r="P298" s="2" t="s">
        <v>6011</v>
      </c>
      <c r="Q298" s="2"/>
      <c r="R298" s="2"/>
      <c r="S298" s="2" t="s">
        <v>6011</v>
      </c>
      <c r="T298" s="2">
        <v>73</v>
      </c>
      <c r="U298" s="2">
        <v>22</v>
      </c>
      <c r="V298" s="2" t="s">
        <v>6890</v>
      </c>
      <c r="W298" s="2" t="s">
        <v>533</v>
      </c>
      <c r="X298" s="2"/>
      <c r="Y298" s="2"/>
      <c r="Z298" s="2" t="s">
        <v>6891</v>
      </c>
      <c r="AA298" s="2" t="s">
        <v>6892</v>
      </c>
      <c r="AB298" s="2">
        <v>25</v>
      </c>
      <c r="AC298" s="2" t="s">
        <v>139</v>
      </c>
      <c r="AD298" s="2" t="s">
        <v>6015</v>
      </c>
      <c r="AE298" s="2">
        <v>129</v>
      </c>
      <c r="AF298" s="2" t="s">
        <v>141</v>
      </c>
      <c r="AG298" s="2"/>
      <c r="AH298" s="2"/>
      <c r="AI298" s="2"/>
      <c r="AJ298" s="2"/>
      <c r="AK298" s="2" t="s">
        <v>142</v>
      </c>
      <c r="AL298" s="2" t="s">
        <v>6016</v>
      </c>
      <c r="AM298" s="2" t="s">
        <v>6017</v>
      </c>
      <c r="AN298" s="2" t="s">
        <v>717</v>
      </c>
      <c r="AO298" s="2" t="s">
        <v>6893</v>
      </c>
      <c r="AP298" s="2">
        <v>705348000</v>
      </c>
      <c r="AQ298" s="2">
        <v>705348000</v>
      </c>
      <c r="AR298" s="2" t="s">
        <v>146</v>
      </c>
      <c r="AS298" s="2">
        <v>81077795</v>
      </c>
      <c r="AT298" s="2" t="s">
        <v>6019</v>
      </c>
      <c r="AU298" s="2"/>
      <c r="AV298" s="2"/>
      <c r="AW298" s="2" t="s">
        <v>148</v>
      </c>
      <c r="AX298" s="2">
        <v>87079504</v>
      </c>
      <c r="AY298" s="2" t="s">
        <v>6020</v>
      </c>
      <c r="AZ298" s="2" t="s">
        <v>6894</v>
      </c>
      <c r="BA298" s="2" t="s">
        <v>6022</v>
      </c>
      <c r="BB298" s="2">
        <v>0</v>
      </c>
      <c r="BC298" s="3" t="str">
        <f>HYPERLINK("https://patentscout.innography.com/share/BddXyuImkXAUyX93UYLbuw%3D%3D","US20220114542")</f>
        <v>US20220114542</v>
      </c>
      <c r="BD298" s="2" t="s">
        <v>6895</v>
      </c>
      <c r="BE298" s="2" t="s">
        <v>6896</v>
      </c>
      <c r="BF298" s="2" t="s">
        <v>6897</v>
      </c>
      <c r="BG298" s="2" t="str">
        <f>HYPERLINK("https://patentscout.innography.com/share/BddXyuImkXAUyX93UYLbuw%3D%3D/download", "Download PDF")</f>
        <v>Download PDF</v>
      </c>
      <c r="BH298" s="2" t="s">
        <v>6898</v>
      </c>
      <c r="BI298" s="2"/>
      <c r="BJ298" s="2" t="s">
        <v>6028</v>
      </c>
      <c r="BK298" s="2" t="s">
        <v>6028</v>
      </c>
      <c r="BL298" s="2" t="s">
        <v>6028</v>
      </c>
      <c r="BM298" s="2"/>
      <c r="BN298" s="2"/>
      <c r="BO298" s="2"/>
      <c r="BP298" s="2"/>
      <c r="BQ298" s="2"/>
      <c r="BR298" s="2"/>
      <c r="BS298" s="2"/>
      <c r="BT298" s="2"/>
      <c r="BU298" s="2"/>
      <c r="BV298" s="2"/>
      <c r="BW298" s="2"/>
      <c r="BX298" s="2"/>
      <c r="BY298" s="2"/>
      <c r="BZ298" s="2"/>
      <c r="CA298" s="2"/>
      <c r="CB298" s="2"/>
      <c r="CC298" s="2" t="s">
        <v>158</v>
      </c>
      <c r="CD298" s="2" t="str">
        <f>HYPERLINK("https://patentscout.innography.com/share/BddXyuImkXAUyX93UYLbuw%3D%3D", "Innography Link")</f>
        <v>Innography Link</v>
      </c>
      <c r="CE298" s="2"/>
      <c r="CF298" s="2"/>
      <c r="CG298" s="2"/>
      <c r="CH298" s="2"/>
      <c r="CI298" s="2"/>
      <c r="CK298" s="2" t="s">
        <v>6899</v>
      </c>
      <c r="CL298" s="2" t="s">
        <v>6900</v>
      </c>
      <c r="CM298" s="2" t="s">
        <v>6901</v>
      </c>
    </row>
    <row r="299" spans="1:98" ht="152" customHeight="1" x14ac:dyDescent="0.45">
      <c r="A299" s="2">
        <v>0</v>
      </c>
      <c r="B299" s="2">
        <v>0</v>
      </c>
      <c r="C299" s="2"/>
      <c r="D299" s="2"/>
      <c r="E299" s="2" t="s">
        <v>6005</v>
      </c>
      <c r="F299" s="2"/>
      <c r="G299" s="2" t="s">
        <v>6005</v>
      </c>
      <c r="H299" s="2" t="s">
        <v>6006</v>
      </c>
      <c r="I299" s="2" t="s">
        <v>6007</v>
      </c>
      <c r="J299" s="2" t="s">
        <v>6008</v>
      </c>
      <c r="K299" s="2" t="s">
        <v>6005</v>
      </c>
      <c r="L299" s="2" t="s">
        <v>6005</v>
      </c>
      <c r="M299" s="2" t="s">
        <v>6902</v>
      </c>
      <c r="N299" s="2" t="s">
        <v>6010</v>
      </c>
      <c r="O299" s="2"/>
      <c r="P299" s="2" t="s">
        <v>6011</v>
      </c>
      <c r="Q299" s="2"/>
      <c r="R299" s="2"/>
      <c r="S299" s="2" t="s">
        <v>6011</v>
      </c>
      <c r="T299" s="2">
        <v>73</v>
      </c>
      <c r="U299" s="2">
        <v>21</v>
      </c>
      <c r="V299" s="2" t="s">
        <v>6903</v>
      </c>
      <c r="W299" s="2" t="s">
        <v>533</v>
      </c>
      <c r="X299" s="2"/>
      <c r="Y299" s="2"/>
      <c r="Z299" s="2" t="s">
        <v>6904</v>
      </c>
      <c r="AA299" s="2" t="s">
        <v>6905</v>
      </c>
      <c r="AB299" s="2">
        <v>24</v>
      </c>
      <c r="AC299" s="2" t="s">
        <v>139</v>
      </c>
      <c r="AD299" s="2" t="s">
        <v>6015</v>
      </c>
      <c r="AE299" s="2">
        <v>76</v>
      </c>
      <c r="AF299" s="2" t="s">
        <v>141</v>
      </c>
      <c r="AG299" s="2"/>
      <c r="AH299" s="2"/>
      <c r="AI299" s="2"/>
      <c r="AJ299" s="2"/>
      <c r="AK299" s="2" t="s">
        <v>142</v>
      </c>
      <c r="AL299" s="2" t="s">
        <v>6016</v>
      </c>
      <c r="AM299" s="2" t="s">
        <v>6017</v>
      </c>
      <c r="AN299" s="2" t="s">
        <v>6018</v>
      </c>
      <c r="AO299" s="2" t="s">
        <v>6906</v>
      </c>
      <c r="AP299" s="2">
        <v>340005740</v>
      </c>
      <c r="AQ299" s="2">
        <v>340005740</v>
      </c>
      <c r="AR299" s="2" t="s">
        <v>146</v>
      </c>
      <c r="AS299" s="2">
        <v>81077795</v>
      </c>
      <c r="AT299" s="2" t="s">
        <v>6019</v>
      </c>
      <c r="AU299" s="2"/>
      <c r="AV299" s="2"/>
      <c r="AW299" s="2" t="s">
        <v>148</v>
      </c>
      <c r="AX299" s="2">
        <v>87079504</v>
      </c>
      <c r="AY299" s="2" t="s">
        <v>6020</v>
      </c>
      <c r="AZ299" s="2" t="s">
        <v>6907</v>
      </c>
      <c r="BA299" s="2" t="s">
        <v>6022</v>
      </c>
      <c r="BB299" s="2">
        <v>0</v>
      </c>
      <c r="BC299" s="3" t="str">
        <f>HYPERLINK("https://patentscout.innography.com/share/6e7sJUt4XkPbVPYGFB78Ag%3D%3D","US20220116227")</f>
        <v>US20220116227</v>
      </c>
      <c r="BD299" s="2" t="s">
        <v>6908</v>
      </c>
      <c r="BE299" s="2" t="s">
        <v>6909</v>
      </c>
      <c r="BF299" s="2" t="s">
        <v>6910</v>
      </c>
      <c r="BG299" s="2" t="str">
        <f>HYPERLINK("https://patentscout.innography.com/share/6e7sJUt4XkPbVPYGFB78Ag%3D%3D/download", "Download PDF")</f>
        <v>Download PDF</v>
      </c>
      <c r="BH299" s="2" t="s">
        <v>6911</v>
      </c>
      <c r="BI299" s="2"/>
      <c r="BJ299" s="2" t="s">
        <v>6912</v>
      </c>
      <c r="BK299" s="2" t="s">
        <v>6028</v>
      </c>
      <c r="BL299" s="2" t="s">
        <v>6028</v>
      </c>
      <c r="BM299" s="2"/>
      <c r="BN299" s="2"/>
      <c r="BO299" s="2"/>
      <c r="BP299" s="2"/>
      <c r="BQ299" s="2"/>
      <c r="BR299" s="2"/>
      <c r="BS299" s="2"/>
      <c r="BT299" s="2"/>
      <c r="BU299" s="2"/>
      <c r="BV299" s="2"/>
      <c r="BW299" s="2"/>
      <c r="BX299" s="2"/>
      <c r="BY299" s="2"/>
      <c r="BZ299" s="2"/>
      <c r="CA299" s="2"/>
      <c r="CB299" s="2"/>
      <c r="CC299" s="2" t="s">
        <v>158</v>
      </c>
      <c r="CD299" s="2" t="str">
        <f>HYPERLINK("https://patentscout.innography.com/share/6e7sJUt4XkPbVPYGFB78Ag%3D%3D", "Innography Link")</f>
        <v>Innography Link</v>
      </c>
      <c r="CE299" s="2"/>
      <c r="CF299" s="2"/>
      <c r="CG299" s="2"/>
      <c r="CH299" s="2"/>
      <c r="CI299" s="2"/>
      <c r="CK299" s="2" t="s">
        <v>6913</v>
      </c>
      <c r="CL299" s="2" t="s">
        <v>6914</v>
      </c>
    </row>
    <row r="300" spans="1:98" ht="152" customHeight="1" x14ac:dyDescent="0.45">
      <c r="A300" s="2">
        <v>0</v>
      </c>
      <c r="B300" s="2">
        <v>5</v>
      </c>
      <c r="C300" s="2" t="s">
        <v>6915</v>
      </c>
      <c r="D300" s="2"/>
      <c r="E300" s="2" t="s">
        <v>6547</v>
      </c>
      <c r="F300" s="2"/>
      <c r="G300" s="2" t="s">
        <v>6547</v>
      </c>
      <c r="H300" s="2" t="s">
        <v>6006</v>
      </c>
      <c r="I300" s="2" t="s">
        <v>6007</v>
      </c>
      <c r="J300" s="2" t="s">
        <v>6033</v>
      </c>
      <c r="K300" s="2" t="s">
        <v>6005</v>
      </c>
      <c r="L300" s="2" t="s">
        <v>6005</v>
      </c>
      <c r="M300" s="2" t="s">
        <v>6902</v>
      </c>
      <c r="N300" s="2" t="s">
        <v>6010</v>
      </c>
      <c r="O300" s="2"/>
      <c r="P300" s="2" t="s">
        <v>6015</v>
      </c>
      <c r="Q300" s="2"/>
      <c r="R300" s="2"/>
      <c r="S300" s="2" t="s">
        <v>6015</v>
      </c>
      <c r="T300" s="2">
        <v>73</v>
      </c>
      <c r="U300" s="2">
        <v>17</v>
      </c>
      <c r="V300" s="2" t="s">
        <v>6916</v>
      </c>
      <c r="W300" s="2"/>
      <c r="X300" s="2"/>
      <c r="Y300" s="2"/>
      <c r="Z300" s="2" t="s">
        <v>6917</v>
      </c>
      <c r="AA300" s="2" t="s">
        <v>6918</v>
      </c>
      <c r="AB300" s="2">
        <v>24</v>
      </c>
      <c r="AC300" s="2" t="s">
        <v>139</v>
      </c>
      <c r="AD300" s="2" t="s">
        <v>6015</v>
      </c>
      <c r="AE300" s="2">
        <v>77</v>
      </c>
      <c r="AF300" s="2" t="s">
        <v>141</v>
      </c>
      <c r="AG300" s="2" t="s">
        <v>4830</v>
      </c>
      <c r="AH300" s="2"/>
      <c r="AI300" s="2"/>
      <c r="AJ300" s="2"/>
      <c r="AK300" s="2" t="s">
        <v>619</v>
      </c>
      <c r="AL300" s="2" t="s">
        <v>6016</v>
      </c>
      <c r="AM300" s="2" t="s">
        <v>6017</v>
      </c>
      <c r="AN300" s="2" t="s">
        <v>6018</v>
      </c>
      <c r="AO300" s="2" t="s">
        <v>6919</v>
      </c>
      <c r="AP300" s="2">
        <v>715701000</v>
      </c>
      <c r="AQ300" s="2">
        <v>715701000</v>
      </c>
      <c r="AR300" s="2" t="s">
        <v>541</v>
      </c>
      <c r="AS300" s="2">
        <v>81077795</v>
      </c>
      <c r="AT300" s="2" t="s">
        <v>6019</v>
      </c>
      <c r="AU300" s="2"/>
      <c r="AV300" s="2"/>
      <c r="AW300" s="2" t="s">
        <v>624</v>
      </c>
      <c r="AX300" s="2">
        <v>87079504</v>
      </c>
      <c r="AY300" s="2" t="s">
        <v>6020</v>
      </c>
      <c r="AZ300" s="2" t="s">
        <v>6920</v>
      </c>
      <c r="BA300" s="2" t="s">
        <v>6040</v>
      </c>
      <c r="BB300" s="2">
        <v>0</v>
      </c>
      <c r="BC300" s="3" t="str">
        <f>HYPERLINK("https://patentscout.innography.com/share/0ooJ53vKSBSR6w6f1DIEqw%3D%3D","WO2022079488")</f>
        <v>WO2022079488</v>
      </c>
      <c r="BD300" s="2" t="s">
        <v>6921</v>
      </c>
      <c r="BE300" s="2" t="s">
        <v>6922</v>
      </c>
      <c r="BF300" s="2" t="s">
        <v>6923</v>
      </c>
      <c r="BG300" s="2" t="str">
        <f>HYPERLINK("https://patentscout.innography.com/share/0ooJ53vKSBSR6w6f1DIEqw%3D%3D/download", "Download PDF")</f>
        <v>Download PDF</v>
      </c>
      <c r="BH300" s="2" t="s">
        <v>6924</v>
      </c>
      <c r="BI300" s="2"/>
      <c r="BJ300" s="2" t="s">
        <v>6925</v>
      </c>
      <c r="BK300" s="2" t="s">
        <v>6028</v>
      </c>
      <c r="BL300" s="2" t="s">
        <v>6028</v>
      </c>
      <c r="BM300" s="2"/>
      <c r="BN300" s="2"/>
      <c r="BO300" s="2"/>
      <c r="BP300" s="2"/>
      <c r="BQ300" s="2"/>
      <c r="BR300" s="2"/>
      <c r="BS300" s="2"/>
      <c r="BT300" s="2"/>
      <c r="BU300" s="2" t="s">
        <v>6926</v>
      </c>
      <c r="BV300" s="2"/>
      <c r="BW300" s="2"/>
      <c r="BX300" s="2"/>
      <c r="BY300" s="2"/>
      <c r="BZ300" s="2"/>
      <c r="CA300" s="2"/>
      <c r="CB300" s="2"/>
      <c r="CC300" s="2" t="s">
        <v>635</v>
      </c>
      <c r="CD300" s="2" t="str">
        <f>HYPERLINK("https://patentscout.innography.com/share/0ooJ53vKSBSR6w6f1DIEqw%3D%3D", "Innography Link")</f>
        <v>Innography Link</v>
      </c>
      <c r="CE300" s="2"/>
      <c r="CF300" s="2"/>
      <c r="CG300" s="2"/>
      <c r="CH300" s="2"/>
      <c r="CI300" s="2"/>
      <c r="CK300" s="2" t="s">
        <v>5841</v>
      </c>
      <c r="CL300" s="2" t="s">
        <v>6927</v>
      </c>
      <c r="CM300" s="2" t="s">
        <v>6928</v>
      </c>
    </row>
    <row r="301" spans="1:98" ht="152" customHeight="1" x14ac:dyDescent="0.45">
      <c r="A301" s="2">
        <v>0</v>
      </c>
      <c r="B301" s="2">
        <v>5</v>
      </c>
      <c r="C301" s="2" t="s">
        <v>6929</v>
      </c>
      <c r="D301" s="2"/>
      <c r="E301" s="2" t="s">
        <v>6005</v>
      </c>
      <c r="F301" s="2"/>
      <c r="G301" s="2" t="s">
        <v>6005</v>
      </c>
      <c r="H301" s="2" t="s">
        <v>6006</v>
      </c>
      <c r="I301" s="2" t="s">
        <v>6007</v>
      </c>
      <c r="J301" s="2" t="s">
        <v>6033</v>
      </c>
      <c r="K301" s="2" t="s">
        <v>6005</v>
      </c>
      <c r="L301" s="2" t="s">
        <v>6005</v>
      </c>
      <c r="M301" s="2" t="s">
        <v>6930</v>
      </c>
      <c r="N301" s="2" t="s">
        <v>6010</v>
      </c>
      <c r="O301" s="2"/>
      <c r="P301" s="2" t="s">
        <v>6015</v>
      </c>
      <c r="Q301" s="2"/>
      <c r="R301" s="2"/>
      <c r="S301" s="2" t="s">
        <v>6015</v>
      </c>
      <c r="T301" s="2">
        <v>73</v>
      </c>
      <c r="U301" s="2">
        <v>18</v>
      </c>
      <c r="V301" s="2" t="s">
        <v>6931</v>
      </c>
      <c r="W301" s="2"/>
      <c r="X301" s="2"/>
      <c r="Y301" s="2"/>
      <c r="Z301" s="2" t="s">
        <v>6932</v>
      </c>
      <c r="AA301" s="2" t="s">
        <v>6933</v>
      </c>
      <c r="AB301" s="2">
        <v>25</v>
      </c>
      <c r="AC301" s="2" t="s">
        <v>139</v>
      </c>
      <c r="AD301" s="2" t="s">
        <v>6015</v>
      </c>
      <c r="AE301" s="2">
        <v>129</v>
      </c>
      <c r="AF301" s="2" t="s">
        <v>141</v>
      </c>
      <c r="AG301" s="2" t="s">
        <v>4830</v>
      </c>
      <c r="AH301" s="2"/>
      <c r="AI301" s="2"/>
      <c r="AJ301" s="2"/>
      <c r="AK301" s="2" t="s">
        <v>619</v>
      </c>
      <c r="AL301" s="2" t="s">
        <v>6016</v>
      </c>
      <c r="AM301" s="2" t="s">
        <v>6017</v>
      </c>
      <c r="AN301" s="2" t="s">
        <v>6018</v>
      </c>
      <c r="AO301" s="2" t="s">
        <v>6934</v>
      </c>
      <c r="AP301" s="2">
        <v>380263000</v>
      </c>
      <c r="AQ301" s="2">
        <v>380263000</v>
      </c>
      <c r="AR301" s="2" t="s">
        <v>541</v>
      </c>
      <c r="AS301" s="2">
        <v>81077795</v>
      </c>
      <c r="AT301" s="2" t="s">
        <v>6019</v>
      </c>
      <c r="AU301" s="2"/>
      <c r="AV301" s="2"/>
      <c r="AW301" s="2" t="s">
        <v>624</v>
      </c>
      <c r="AX301" s="2">
        <v>87079504</v>
      </c>
      <c r="AY301" s="2" t="s">
        <v>6020</v>
      </c>
      <c r="AZ301" s="2" t="s">
        <v>6935</v>
      </c>
      <c r="BA301" s="2" t="s">
        <v>6040</v>
      </c>
      <c r="BB301" s="2">
        <v>0</v>
      </c>
      <c r="BC301" s="3" t="str">
        <f>HYPERLINK("https://patentscout.innography.com/share/QSDtvoz3QzdM3tflNoCTbQ%3D%3D","WO2022074449")</f>
        <v>WO2022074449</v>
      </c>
      <c r="BD301" s="2" t="s">
        <v>6936</v>
      </c>
      <c r="BE301" s="2" t="s">
        <v>6042</v>
      </c>
      <c r="BF301" s="2" t="s">
        <v>6937</v>
      </c>
      <c r="BG301" s="2" t="str">
        <f>HYPERLINK("https://patentscout.innography.com/share/QSDtvoz3QzdM3tflNoCTbQ%3D%3D/download", "Download PDF")</f>
        <v>Download PDF</v>
      </c>
      <c r="BH301" s="2" t="s">
        <v>6938</v>
      </c>
      <c r="BI301" s="2"/>
      <c r="BJ301" s="2" t="s">
        <v>6939</v>
      </c>
      <c r="BK301" s="2" t="s">
        <v>6028</v>
      </c>
      <c r="BL301" s="2" t="s">
        <v>6028</v>
      </c>
      <c r="BM301" s="2"/>
      <c r="BN301" s="2"/>
      <c r="BO301" s="2"/>
      <c r="BP301" s="2"/>
      <c r="BQ301" s="2"/>
      <c r="BR301" s="2"/>
      <c r="BS301" s="2"/>
      <c r="BT301" s="2"/>
      <c r="BU301" s="2"/>
      <c r="BV301" s="2"/>
      <c r="BW301" s="2"/>
      <c r="BX301" s="2"/>
      <c r="BY301" s="2"/>
      <c r="BZ301" s="2"/>
      <c r="CA301" s="2"/>
      <c r="CB301" s="2"/>
      <c r="CC301" s="2" t="s">
        <v>635</v>
      </c>
      <c r="CD301" s="2" t="str">
        <f>HYPERLINK("https://patentscout.innography.com/share/QSDtvoz3QzdM3tflNoCTbQ%3D%3D", "Innography Link")</f>
        <v>Innography Link</v>
      </c>
      <c r="CE301" s="2"/>
      <c r="CF301" s="2"/>
      <c r="CG301" s="2"/>
      <c r="CH301" s="2"/>
      <c r="CI301" s="2"/>
      <c r="CK301" s="2" t="s">
        <v>5841</v>
      </c>
      <c r="CL301" s="2" t="s">
        <v>6940</v>
      </c>
      <c r="CM301" s="2" t="s">
        <v>6941</v>
      </c>
      <c r="CN301" s="2" t="s">
        <v>6942</v>
      </c>
    </row>
    <row r="302" spans="1:98" ht="152" customHeight="1" x14ac:dyDescent="0.45">
      <c r="A302" s="2">
        <v>0</v>
      </c>
      <c r="B302" s="2">
        <v>0</v>
      </c>
      <c r="C302" s="2"/>
      <c r="D302" s="2"/>
      <c r="E302" s="2" t="s">
        <v>1026</v>
      </c>
      <c r="F302" s="2"/>
      <c r="G302" s="2" t="s">
        <v>1026</v>
      </c>
      <c r="H302" s="2" t="s">
        <v>6943</v>
      </c>
      <c r="I302" s="2" t="s">
        <v>6944</v>
      </c>
      <c r="J302" s="2" t="s">
        <v>6945</v>
      </c>
      <c r="K302" s="2" t="s">
        <v>1026</v>
      </c>
      <c r="L302" s="2" t="s">
        <v>1999</v>
      </c>
      <c r="M302" s="2" t="s">
        <v>6946</v>
      </c>
      <c r="N302" s="2" t="s">
        <v>6947</v>
      </c>
      <c r="O302" s="2" t="s">
        <v>6948</v>
      </c>
      <c r="P302" s="2" t="s">
        <v>6949</v>
      </c>
      <c r="Q302" s="2" t="s">
        <v>6949</v>
      </c>
      <c r="R302" s="2" t="s">
        <v>6949</v>
      </c>
      <c r="S302" s="2" t="s">
        <v>6949</v>
      </c>
      <c r="T302" s="2">
        <v>73</v>
      </c>
      <c r="U302" s="2">
        <v>16</v>
      </c>
      <c r="V302" s="2" t="s">
        <v>6950</v>
      </c>
      <c r="W302" s="2" t="s">
        <v>533</v>
      </c>
      <c r="X302" s="2"/>
      <c r="Y302" s="2"/>
      <c r="Z302" s="2" t="s">
        <v>6951</v>
      </c>
      <c r="AA302" s="2" t="s">
        <v>6952</v>
      </c>
      <c r="AB302" s="2">
        <v>21</v>
      </c>
      <c r="AC302" s="2" t="s">
        <v>139</v>
      </c>
      <c r="AD302" s="2" t="s">
        <v>6953</v>
      </c>
      <c r="AE302" s="2">
        <v>316</v>
      </c>
      <c r="AF302" s="2" t="s">
        <v>141</v>
      </c>
      <c r="AG302" s="2"/>
      <c r="AH302" s="2"/>
      <c r="AI302" s="2"/>
      <c r="AJ302" s="2"/>
      <c r="AK302" s="2" t="s">
        <v>142</v>
      </c>
      <c r="AL302" s="2" t="s">
        <v>6954</v>
      </c>
      <c r="AM302" s="2" t="s">
        <v>6955</v>
      </c>
      <c r="AN302" s="2" t="s">
        <v>6018</v>
      </c>
      <c r="AO302" s="2" t="s">
        <v>6956</v>
      </c>
      <c r="AP302" s="2">
        <v>340005740</v>
      </c>
      <c r="AQ302" s="2">
        <v>340005740</v>
      </c>
      <c r="AR302" s="2" t="s">
        <v>541</v>
      </c>
      <c r="AS302" s="2">
        <v>81453904</v>
      </c>
      <c r="AT302" s="2" t="s">
        <v>6957</v>
      </c>
      <c r="AU302" s="2"/>
      <c r="AV302" s="2"/>
      <c r="AW302" s="2" t="s">
        <v>148</v>
      </c>
      <c r="AX302" s="2">
        <v>86150592</v>
      </c>
      <c r="AY302" s="2" t="s">
        <v>6958</v>
      </c>
      <c r="AZ302" s="2" t="s">
        <v>6959</v>
      </c>
      <c r="BA302" s="2" t="s">
        <v>6960</v>
      </c>
      <c r="BB302" s="2">
        <v>0</v>
      </c>
      <c r="BC302" s="3" t="str">
        <f>HYPERLINK("https://patentscout.innography.com/share/P0HfXoFMmFsC6_h2Vnol-w%3D%3D","US20220150071")</f>
        <v>US20220150071</v>
      </c>
      <c r="BD302" s="2" t="s">
        <v>6961</v>
      </c>
      <c r="BE302" s="2" t="s">
        <v>6962</v>
      </c>
      <c r="BF302" s="2" t="s">
        <v>6963</v>
      </c>
      <c r="BG302" s="2" t="str">
        <f>HYPERLINK("https://patentscout.innography.com/share/P0HfXoFMmFsC6_h2Vnol-w%3D%3D/download", "Download PDF")</f>
        <v>Download PDF</v>
      </c>
      <c r="BH302" s="2" t="s">
        <v>6964</v>
      </c>
      <c r="BI302" s="2"/>
      <c r="BJ302" s="2" t="s">
        <v>6965</v>
      </c>
      <c r="BK302" s="2" t="s">
        <v>6965</v>
      </c>
      <c r="BL302" s="2" t="s">
        <v>6966</v>
      </c>
      <c r="BM302" s="2"/>
      <c r="BN302" s="2"/>
      <c r="BO302" s="2"/>
      <c r="BP302" s="2"/>
      <c r="BQ302" s="2"/>
      <c r="BR302" s="2"/>
      <c r="BS302" s="2"/>
      <c r="BT302" s="2"/>
      <c r="BU302" s="2"/>
      <c r="BV302" s="2"/>
      <c r="BW302" s="2"/>
      <c r="BX302" s="2"/>
      <c r="BY302" s="2"/>
      <c r="BZ302" s="2"/>
      <c r="CA302" s="2"/>
      <c r="CB302" s="2"/>
      <c r="CC302" s="2" t="s">
        <v>158</v>
      </c>
      <c r="CD302" s="2" t="str">
        <f>HYPERLINK("https://patentscout.innography.com/share/P0HfXoFMmFsC6_h2Vnol-w%3D%3D", "Innography Link")</f>
        <v>Innography Link</v>
      </c>
      <c r="CE302" s="2"/>
      <c r="CF302" s="2"/>
      <c r="CG302" s="2"/>
      <c r="CH302" s="2"/>
      <c r="CI302" s="2"/>
      <c r="CK302" s="2" t="s">
        <v>6967</v>
      </c>
      <c r="CL302" s="2" t="s">
        <v>6968</v>
      </c>
    </row>
    <row r="303" spans="1:98" ht="152" customHeight="1" x14ac:dyDescent="0.45">
      <c r="A303" s="2">
        <v>0</v>
      </c>
      <c r="B303" s="2">
        <v>0</v>
      </c>
      <c r="C303" s="2"/>
      <c r="D303" s="2"/>
      <c r="E303" s="2" t="s">
        <v>2280</v>
      </c>
      <c r="F303" s="2"/>
      <c r="G303" s="2" t="s">
        <v>2280</v>
      </c>
      <c r="H303" s="2" t="s">
        <v>6969</v>
      </c>
      <c r="I303" s="2" t="s">
        <v>2327</v>
      </c>
      <c r="J303" s="2" t="s">
        <v>6970</v>
      </c>
      <c r="K303" s="2" t="s">
        <v>2280</v>
      </c>
      <c r="L303" s="2" t="s">
        <v>2280</v>
      </c>
      <c r="M303" s="2" t="s">
        <v>6971</v>
      </c>
      <c r="N303" s="2" t="s">
        <v>6972</v>
      </c>
      <c r="O303" s="2"/>
      <c r="P303" s="2" t="s">
        <v>6973</v>
      </c>
      <c r="Q303" s="2" t="s">
        <v>6973</v>
      </c>
      <c r="R303" s="2" t="s">
        <v>6974</v>
      </c>
      <c r="S303" s="2" t="s">
        <v>6973</v>
      </c>
      <c r="T303" s="2">
        <v>73</v>
      </c>
      <c r="U303" s="2">
        <v>5</v>
      </c>
      <c r="V303" s="2" t="s">
        <v>6975</v>
      </c>
      <c r="W303" s="2"/>
      <c r="X303" s="2"/>
      <c r="Y303" s="2"/>
      <c r="Z303" s="2" t="s">
        <v>6976</v>
      </c>
      <c r="AA303" s="2" t="s">
        <v>6977</v>
      </c>
      <c r="AB303" s="2">
        <v>3</v>
      </c>
      <c r="AC303" s="2" t="s">
        <v>139</v>
      </c>
      <c r="AD303" s="2" t="s">
        <v>6978</v>
      </c>
      <c r="AE303" s="2">
        <v>108</v>
      </c>
      <c r="AF303" s="2" t="s">
        <v>141</v>
      </c>
      <c r="AG303" s="2" t="s">
        <v>4830</v>
      </c>
      <c r="AH303" s="2"/>
      <c r="AI303" s="2"/>
      <c r="AJ303" s="2"/>
      <c r="AK303" s="2" t="s">
        <v>619</v>
      </c>
      <c r="AL303" s="2" t="s">
        <v>6979</v>
      </c>
      <c r="AM303" s="2" t="s">
        <v>6980</v>
      </c>
      <c r="AN303" s="2" t="s">
        <v>6981</v>
      </c>
      <c r="AO303" s="2" t="s">
        <v>6982</v>
      </c>
      <c r="AP303" s="2">
        <v>701481000</v>
      </c>
      <c r="AQ303" s="2">
        <v>701481000</v>
      </c>
      <c r="AR303" s="2" t="s">
        <v>253</v>
      </c>
      <c r="AS303" s="2">
        <v>78770606</v>
      </c>
      <c r="AT303" s="2" t="s">
        <v>6983</v>
      </c>
      <c r="AU303" s="2"/>
      <c r="AV303" s="2"/>
      <c r="AW303" s="2" t="s">
        <v>624</v>
      </c>
      <c r="AX303" s="2">
        <v>91303475</v>
      </c>
      <c r="AY303" s="2" t="s">
        <v>6984</v>
      </c>
      <c r="AZ303" s="2" t="s">
        <v>6985</v>
      </c>
      <c r="BA303" s="2" t="s">
        <v>6986</v>
      </c>
      <c r="BB303" s="2">
        <v>0</v>
      </c>
      <c r="BC303" s="3" t="str">
        <f>HYPERLINK("https://patentscout.innography.com/share/dvUFdEfLAkMUUOW3JOdvlA%3D%3D","WO2022101403")</f>
        <v>WO2022101403</v>
      </c>
      <c r="BD303" s="2" t="s">
        <v>6987</v>
      </c>
      <c r="BE303" s="2" t="s">
        <v>6988</v>
      </c>
      <c r="BF303" s="2" t="s">
        <v>6989</v>
      </c>
      <c r="BG303" s="2" t="str">
        <f>HYPERLINK("https://patentscout.innography.com/share/dvUFdEfLAkMUUOW3JOdvlA%3D%3D/download", "Download PDF")</f>
        <v>Download PDF</v>
      </c>
      <c r="BH303" s="2" t="s">
        <v>6990</v>
      </c>
      <c r="BI303" s="2"/>
      <c r="BJ303" s="2" t="s">
        <v>6991</v>
      </c>
      <c r="BK303" s="2" t="s">
        <v>6992</v>
      </c>
      <c r="BL303" s="2" t="s">
        <v>6992</v>
      </c>
      <c r="BM303" s="2"/>
      <c r="BN303" s="2"/>
      <c r="BO303" s="2"/>
      <c r="BP303" s="2"/>
      <c r="BQ303" s="2"/>
      <c r="BR303" s="2"/>
      <c r="BS303" s="2"/>
      <c r="BT303" s="2"/>
      <c r="BU303" s="2"/>
      <c r="BV303" s="2"/>
      <c r="BW303" s="2"/>
      <c r="BX303" s="2"/>
      <c r="BY303" s="2"/>
      <c r="BZ303" s="2"/>
      <c r="CA303" s="2"/>
      <c r="CB303" s="2"/>
      <c r="CC303" s="2" t="s">
        <v>635</v>
      </c>
      <c r="CD303" s="2" t="str">
        <f>HYPERLINK("https://patentscout.innography.com/share/dvUFdEfLAkMUUOW3JOdvlA%3D%3D", "Innography Link")</f>
        <v>Innography Link</v>
      </c>
      <c r="CE303" s="2"/>
      <c r="CF303" s="2"/>
      <c r="CG303" s="2"/>
      <c r="CH303" s="2"/>
      <c r="CI303" s="2"/>
      <c r="CK303" s="2" t="s">
        <v>4840</v>
      </c>
      <c r="CL303" s="2" t="s">
        <v>6993</v>
      </c>
    </row>
    <row r="304" spans="1:98" ht="152" customHeight="1" x14ac:dyDescent="0.45">
      <c r="A304" s="2">
        <v>0</v>
      </c>
      <c r="B304" s="2">
        <v>7</v>
      </c>
      <c r="C304" s="2" t="s">
        <v>6994</v>
      </c>
      <c r="D304" s="2"/>
      <c r="E304" s="2" t="s">
        <v>6498</v>
      </c>
      <c r="F304" s="2"/>
      <c r="G304" s="2" t="s">
        <v>6498</v>
      </c>
      <c r="H304" s="2" t="s">
        <v>3787</v>
      </c>
      <c r="I304" s="2" t="s">
        <v>6995</v>
      </c>
      <c r="J304" s="2" t="s">
        <v>6996</v>
      </c>
      <c r="K304" s="2" t="s">
        <v>6578</v>
      </c>
      <c r="L304" s="2" t="s">
        <v>6997</v>
      </c>
      <c r="M304" s="2" t="s">
        <v>6998</v>
      </c>
      <c r="N304" s="2" t="s">
        <v>6999</v>
      </c>
      <c r="O304" s="2"/>
      <c r="P304" s="2" t="s">
        <v>7000</v>
      </c>
      <c r="Q304" s="2" t="s">
        <v>7001</v>
      </c>
      <c r="R304" s="2" t="s">
        <v>7002</v>
      </c>
      <c r="S304" s="2" t="s">
        <v>7000</v>
      </c>
      <c r="T304" s="2">
        <v>73</v>
      </c>
      <c r="U304" s="2">
        <v>30</v>
      </c>
      <c r="V304" s="2" t="s">
        <v>7003</v>
      </c>
      <c r="W304" s="2"/>
      <c r="X304" s="2"/>
      <c r="Y304" s="2"/>
      <c r="Z304" s="2" t="s">
        <v>7004</v>
      </c>
      <c r="AA304" s="2" t="s">
        <v>7005</v>
      </c>
      <c r="AB304" s="2">
        <v>113</v>
      </c>
      <c r="AC304" s="2" t="s">
        <v>139</v>
      </c>
      <c r="AD304" s="2" t="s">
        <v>7006</v>
      </c>
      <c r="AE304" s="2">
        <v>176</v>
      </c>
      <c r="AF304" s="2" t="s">
        <v>141</v>
      </c>
      <c r="AG304" s="2" t="s">
        <v>4830</v>
      </c>
      <c r="AH304" s="2"/>
      <c r="AI304" s="2"/>
      <c r="AJ304" s="2"/>
      <c r="AK304" s="2" t="s">
        <v>619</v>
      </c>
      <c r="AL304" s="2" t="s">
        <v>7007</v>
      </c>
      <c r="AM304" s="2" t="s">
        <v>7008</v>
      </c>
      <c r="AN304" s="2" t="s">
        <v>7009</v>
      </c>
      <c r="AO304" s="2" t="s">
        <v>7010</v>
      </c>
      <c r="AP304" s="2">
        <v>385014000</v>
      </c>
      <c r="AQ304" s="2">
        <v>385014000</v>
      </c>
      <c r="AR304" s="2" t="s">
        <v>415</v>
      </c>
      <c r="AS304" s="2">
        <v>81849093</v>
      </c>
      <c r="AT304" s="2" t="s">
        <v>7011</v>
      </c>
      <c r="AU304" s="2"/>
      <c r="AV304" s="2"/>
      <c r="AW304" s="2" t="s">
        <v>624</v>
      </c>
      <c r="AX304" s="2">
        <v>75516450</v>
      </c>
      <c r="AY304" s="2" t="s">
        <v>7012</v>
      </c>
      <c r="AZ304" s="2" t="s">
        <v>7013</v>
      </c>
      <c r="BA304" s="2" t="s">
        <v>7014</v>
      </c>
      <c r="BB304" s="2">
        <v>0</v>
      </c>
      <c r="BC304" s="3" t="str">
        <f>HYPERLINK("https://patentscout.innography.com/share/AKHNCsff-cQTKaQe7CqXUw%3D%3D","WO2022125798")</f>
        <v>WO2022125798</v>
      </c>
      <c r="BD304" s="2" t="s">
        <v>7015</v>
      </c>
      <c r="BE304" s="2" t="s">
        <v>7016</v>
      </c>
      <c r="BF304" s="2" t="s">
        <v>7017</v>
      </c>
      <c r="BG304" s="2" t="str">
        <f>HYPERLINK("https://patentscout.innography.com/share/AKHNCsff-cQTKaQe7CqXUw%3D%3D/download", "Download PDF")</f>
        <v>Download PDF</v>
      </c>
      <c r="BH304" s="2" t="s">
        <v>7018</v>
      </c>
      <c r="BI304" s="2"/>
      <c r="BJ304" s="2" t="s">
        <v>7019</v>
      </c>
      <c r="BK304" s="2" t="s">
        <v>7020</v>
      </c>
      <c r="BL304" s="2" t="s">
        <v>7021</v>
      </c>
      <c r="BM304" s="2"/>
      <c r="BN304" s="2"/>
      <c r="BO304" s="2"/>
      <c r="BP304" s="2"/>
      <c r="BQ304" s="2"/>
      <c r="BR304" s="2"/>
      <c r="BS304" s="2"/>
      <c r="BT304" s="2"/>
      <c r="BU304" s="2"/>
      <c r="BV304" s="2"/>
      <c r="BW304" s="2"/>
      <c r="BX304" s="2"/>
      <c r="BY304" s="2"/>
      <c r="BZ304" s="2"/>
      <c r="CA304" s="2"/>
      <c r="CB304" s="2"/>
      <c r="CC304" s="2" t="s">
        <v>635</v>
      </c>
      <c r="CD304" s="2" t="str">
        <f>HYPERLINK("https://patentscout.innography.com/share/AKHNCsff-cQTKaQe7CqXUw%3D%3D", "Innography Link")</f>
        <v>Innography Link</v>
      </c>
      <c r="CE304" s="2"/>
      <c r="CF304" s="2"/>
      <c r="CG304" s="2"/>
      <c r="CH304" s="2"/>
      <c r="CI304" s="2"/>
      <c r="CK304" s="2" t="s">
        <v>4840</v>
      </c>
      <c r="CL304" s="2" t="s">
        <v>7022</v>
      </c>
      <c r="CM304" s="2" t="s">
        <v>7023</v>
      </c>
      <c r="CN304" s="2" t="s">
        <v>7024</v>
      </c>
      <c r="CO304" s="2" t="s">
        <v>7025</v>
      </c>
      <c r="CP304" s="2" t="s">
        <v>7026</v>
      </c>
      <c r="CQ304" s="2" t="s">
        <v>7027</v>
      </c>
      <c r="CR304" s="2" t="s">
        <v>7028</v>
      </c>
      <c r="CS304" s="2" t="s">
        <v>7029</v>
      </c>
      <c r="CT304" s="2" t="s">
        <v>7030</v>
      </c>
    </row>
    <row r="305" spans="1:108" ht="152" customHeight="1" x14ac:dyDescent="0.45">
      <c r="A305" s="2">
        <v>0</v>
      </c>
      <c r="B305" s="2">
        <v>3</v>
      </c>
      <c r="C305" s="2" t="s">
        <v>7031</v>
      </c>
      <c r="D305" s="2"/>
      <c r="E305" s="2"/>
      <c r="F305" s="2" t="s">
        <v>1845</v>
      </c>
      <c r="G305" s="2" t="s">
        <v>1845</v>
      </c>
      <c r="H305" s="2" t="s">
        <v>4777</v>
      </c>
      <c r="I305" s="2" t="s">
        <v>4777</v>
      </c>
      <c r="J305" s="2" t="s">
        <v>7032</v>
      </c>
      <c r="K305" s="2" t="s">
        <v>1845</v>
      </c>
      <c r="L305" s="2" t="s">
        <v>1845</v>
      </c>
      <c r="M305" s="2" t="s">
        <v>7033</v>
      </c>
      <c r="N305" s="2" t="s">
        <v>7034</v>
      </c>
      <c r="O305" s="2"/>
      <c r="P305" s="2" t="s">
        <v>7035</v>
      </c>
      <c r="Q305" s="2" t="s">
        <v>7036</v>
      </c>
      <c r="R305" s="2" t="s">
        <v>7037</v>
      </c>
      <c r="S305" s="2" t="s">
        <v>7035</v>
      </c>
      <c r="T305" s="2">
        <v>73</v>
      </c>
      <c r="U305" s="2">
        <v>3</v>
      </c>
      <c r="V305" s="2" t="s">
        <v>7038</v>
      </c>
      <c r="W305" s="2"/>
      <c r="X305" s="2"/>
      <c r="Y305" s="2"/>
      <c r="Z305" s="2" t="s">
        <v>7039</v>
      </c>
      <c r="AA305" s="2" t="s">
        <v>7040</v>
      </c>
      <c r="AB305" s="2">
        <v>5</v>
      </c>
      <c r="AC305" s="2" t="s">
        <v>235</v>
      </c>
      <c r="AD305" s="2" t="s">
        <v>7041</v>
      </c>
      <c r="AE305" s="2">
        <v>850</v>
      </c>
      <c r="AF305" s="2" t="s">
        <v>141</v>
      </c>
      <c r="AG305" s="2"/>
      <c r="AH305" s="2"/>
      <c r="AI305" s="2"/>
      <c r="AJ305" s="2"/>
      <c r="AK305" s="2" t="s">
        <v>217</v>
      </c>
      <c r="AL305" s="2" t="s">
        <v>7042</v>
      </c>
      <c r="AM305" s="2" t="s">
        <v>7042</v>
      </c>
      <c r="AN305" s="2" t="s">
        <v>7043</v>
      </c>
      <c r="AO305" s="2" t="s">
        <v>7044</v>
      </c>
      <c r="AP305" s="2">
        <v>705348000</v>
      </c>
      <c r="AQ305" s="2">
        <v>705348000</v>
      </c>
      <c r="AR305" s="2" t="s">
        <v>253</v>
      </c>
      <c r="AS305" s="2">
        <v>82419713</v>
      </c>
      <c r="AT305" s="2" t="s">
        <v>7045</v>
      </c>
      <c r="AU305" s="2"/>
      <c r="AV305" s="2"/>
      <c r="AW305" s="2" t="s">
        <v>336</v>
      </c>
      <c r="AX305" s="2">
        <v>89049101</v>
      </c>
      <c r="AY305" s="2" t="s">
        <v>7046</v>
      </c>
      <c r="AZ305" s="2" t="s">
        <v>7047</v>
      </c>
      <c r="BA305" s="2" t="s">
        <v>7048</v>
      </c>
      <c r="BB305" s="2">
        <v>0</v>
      </c>
      <c r="BC305" s="3" t="str">
        <f>HYPERLINK("https://patentscout.innography.com/share/1-rP_XI7mpO51IgBD7ZCCQ%3D%3D","KR102419833")</f>
        <v>KR102419833</v>
      </c>
      <c r="BD305" s="2" t="s">
        <v>7049</v>
      </c>
      <c r="BE305" s="2" t="s">
        <v>7050</v>
      </c>
      <c r="BF305" s="2" t="s">
        <v>7051</v>
      </c>
      <c r="BG305" s="2" t="str">
        <f>HYPERLINK("https://patentscout.innography.com/share/1-rP_XI7mpO51IgBD7ZCCQ%3D%3D/download", "Download PDF")</f>
        <v>Download PDF</v>
      </c>
      <c r="BH305" s="2" t="s">
        <v>7052</v>
      </c>
      <c r="BI305" s="2"/>
      <c r="BJ305" s="2" t="s">
        <v>7053</v>
      </c>
      <c r="BK305" s="2" t="s">
        <v>7053</v>
      </c>
      <c r="BL305" s="2" t="s">
        <v>7053</v>
      </c>
      <c r="BM305" s="2"/>
      <c r="BN305" s="2"/>
      <c r="BO305" s="2"/>
      <c r="BP305" s="2"/>
      <c r="BQ305" s="2"/>
      <c r="BR305" s="2"/>
      <c r="BS305" s="2"/>
      <c r="BT305" s="2"/>
      <c r="BU305" s="2"/>
      <c r="BV305" s="2"/>
      <c r="BW305" s="2"/>
      <c r="BX305" s="2"/>
      <c r="BY305" s="2"/>
      <c r="BZ305" s="2"/>
      <c r="CA305" s="2"/>
      <c r="CB305" s="2"/>
      <c r="CC305" s="2" t="s">
        <v>243</v>
      </c>
      <c r="CD305" s="2" t="str">
        <f>HYPERLINK("https://patentscout.innography.com/share/1-rP_XI7mpO51IgBD7ZCCQ%3D%3D", "Innography Link")</f>
        <v>Innography Link</v>
      </c>
      <c r="CE305" s="2"/>
      <c r="CF305" s="2"/>
      <c r="CG305" s="2"/>
      <c r="CH305" s="2"/>
      <c r="CI305" s="2"/>
      <c r="CK305" s="2" t="s">
        <v>7054</v>
      </c>
      <c r="CL305" s="2" t="s">
        <v>780</v>
      </c>
      <c r="CM305" s="2" t="s">
        <v>444</v>
      </c>
      <c r="CN305" s="2" t="s">
        <v>371</v>
      </c>
      <c r="CO305" s="2" t="s">
        <v>7055</v>
      </c>
    </row>
    <row r="306" spans="1:108" ht="152" customHeight="1" x14ac:dyDescent="0.45">
      <c r="A306" s="2">
        <v>0</v>
      </c>
      <c r="B306" s="2">
        <v>10</v>
      </c>
      <c r="C306" s="2" t="s">
        <v>7056</v>
      </c>
      <c r="D306" s="2"/>
      <c r="E306" s="2" t="s">
        <v>4064</v>
      </c>
      <c r="F306" s="2"/>
      <c r="G306" s="2" t="s">
        <v>4064</v>
      </c>
      <c r="H306" s="2" t="s">
        <v>7057</v>
      </c>
      <c r="I306" s="2" t="s">
        <v>3071</v>
      </c>
      <c r="J306" s="2" t="s">
        <v>7058</v>
      </c>
      <c r="K306" s="2" t="s">
        <v>4064</v>
      </c>
      <c r="L306" s="2" t="s">
        <v>7059</v>
      </c>
      <c r="M306" s="2" t="s">
        <v>7060</v>
      </c>
      <c r="N306" s="2" t="s">
        <v>7061</v>
      </c>
      <c r="O306" s="2"/>
      <c r="P306" s="2" t="s">
        <v>7062</v>
      </c>
      <c r="Q306" s="2" t="s">
        <v>7062</v>
      </c>
      <c r="R306" s="2" t="s">
        <v>7062</v>
      </c>
      <c r="S306" s="2" t="s">
        <v>7062</v>
      </c>
      <c r="T306" s="2">
        <v>73</v>
      </c>
      <c r="U306" s="2">
        <v>33</v>
      </c>
      <c r="V306" s="2" t="s">
        <v>7063</v>
      </c>
      <c r="W306" s="2"/>
      <c r="X306" s="2"/>
      <c r="Y306" s="2"/>
      <c r="Z306" s="2" t="s">
        <v>7064</v>
      </c>
      <c r="AA306" s="2" t="s">
        <v>7065</v>
      </c>
      <c r="AB306" s="2">
        <v>210</v>
      </c>
      <c r="AC306" s="2" t="s">
        <v>139</v>
      </c>
      <c r="AD306" s="2" t="s">
        <v>7066</v>
      </c>
      <c r="AE306" s="2">
        <v>231</v>
      </c>
      <c r="AF306" s="2" t="s">
        <v>141</v>
      </c>
      <c r="AG306" s="2" t="s">
        <v>4830</v>
      </c>
      <c r="AH306" s="2"/>
      <c r="AI306" s="2"/>
      <c r="AJ306" s="2"/>
      <c r="AK306" s="2" t="s">
        <v>619</v>
      </c>
      <c r="AL306" s="2" t="s">
        <v>7067</v>
      </c>
      <c r="AM306" s="2" t="s">
        <v>7068</v>
      </c>
      <c r="AN306" s="2" t="s">
        <v>7069</v>
      </c>
      <c r="AO306" s="2" t="s">
        <v>7070</v>
      </c>
      <c r="AP306" s="2">
        <v>385002000</v>
      </c>
      <c r="AQ306" s="2">
        <v>385002000</v>
      </c>
      <c r="AR306" s="2" t="s">
        <v>415</v>
      </c>
      <c r="AS306" s="2">
        <v>82741761</v>
      </c>
      <c r="AT306" s="2" t="s">
        <v>7071</v>
      </c>
      <c r="AU306" s="2"/>
      <c r="AV306" s="2"/>
      <c r="AW306" s="2" t="s">
        <v>624</v>
      </c>
      <c r="AX306" s="2">
        <v>82337529</v>
      </c>
      <c r="AY306" s="2" t="s">
        <v>7072</v>
      </c>
      <c r="AZ306" s="2" t="s">
        <v>7073</v>
      </c>
      <c r="BA306" s="2" t="s">
        <v>7074</v>
      </c>
      <c r="BB306" s="2">
        <v>0</v>
      </c>
      <c r="BC306" s="3" t="str">
        <f>HYPERLINK("https://patentscout.innography.com/share/igcqlFdn9hIlM0hWZRYGeg%3D%3D","WO2022169970")</f>
        <v>WO2022169970</v>
      </c>
      <c r="BD306" s="2" t="s">
        <v>7075</v>
      </c>
      <c r="BE306" s="2" t="s">
        <v>7076</v>
      </c>
      <c r="BF306" s="2" t="s">
        <v>7077</v>
      </c>
      <c r="BG306" s="2" t="str">
        <f>HYPERLINK("https://patentscout.innography.com/share/igcqlFdn9hIlM0hWZRYGeg%3D%3D/download", "Download PDF")</f>
        <v>Download PDF</v>
      </c>
      <c r="BH306" s="2" t="s">
        <v>7078</v>
      </c>
      <c r="BI306" s="2"/>
      <c r="BJ306" s="2" t="s">
        <v>7079</v>
      </c>
      <c r="BK306" s="2" t="s">
        <v>7079</v>
      </c>
      <c r="BL306" s="2" t="s">
        <v>7080</v>
      </c>
      <c r="BM306" s="2"/>
      <c r="BN306" s="2"/>
      <c r="BO306" s="2"/>
      <c r="BP306" s="2"/>
      <c r="BQ306" s="2"/>
      <c r="BR306" s="2"/>
      <c r="BS306" s="2"/>
      <c r="BT306" s="2"/>
      <c r="BU306" s="2" t="s">
        <v>7081</v>
      </c>
      <c r="BV306" s="2"/>
      <c r="BW306" s="2"/>
      <c r="BX306" s="2"/>
      <c r="BY306" s="2"/>
      <c r="BZ306" s="2"/>
      <c r="CA306" s="2"/>
      <c r="CB306" s="2"/>
      <c r="CC306" s="2" t="s">
        <v>635</v>
      </c>
      <c r="CD306" s="2" t="str">
        <f>HYPERLINK("https://patentscout.innography.com/share/igcqlFdn9hIlM0hWZRYGeg%3D%3D", "Innography Link")</f>
        <v>Innography Link</v>
      </c>
      <c r="CE306" s="2"/>
      <c r="CF306" s="2"/>
      <c r="CG306" s="2"/>
      <c r="CH306" s="2"/>
      <c r="CI306" s="2"/>
      <c r="CK306" s="2" t="s">
        <v>4840</v>
      </c>
      <c r="CL306" s="2" t="s">
        <v>7082</v>
      </c>
      <c r="CM306" s="2" t="s">
        <v>7083</v>
      </c>
      <c r="CN306" s="2" t="s">
        <v>7084</v>
      </c>
      <c r="CO306" s="2" t="s">
        <v>7085</v>
      </c>
      <c r="CP306" s="2" t="s">
        <v>7086</v>
      </c>
      <c r="CQ306" s="2" t="s">
        <v>7087</v>
      </c>
      <c r="CR306" s="2" t="s">
        <v>7088</v>
      </c>
      <c r="CS306" s="2" t="s">
        <v>7089</v>
      </c>
      <c r="CT306" s="2" t="s">
        <v>7090</v>
      </c>
      <c r="CU306" s="2" t="s">
        <v>7091</v>
      </c>
      <c r="CV306" s="2" t="s">
        <v>7092</v>
      </c>
      <c r="CW306" s="2" t="s">
        <v>7093</v>
      </c>
      <c r="CX306" s="2" t="s">
        <v>7094</v>
      </c>
      <c r="CY306" s="2" t="s">
        <v>7095</v>
      </c>
      <c r="CZ306" s="2" t="s">
        <v>7096</v>
      </c>
      <c r="DA306" s="2" t="s">
        <v>7097</v>
      </c>
      <c r="DB306" s="2" t="s">
        <v>7098</v>
      </c>
      <c r="DC306" s="2" t="s">
        <v>7099</v>
      </c>
      <c r="DD306" s="2" t="s">
        <v>7100</v>
      </c>
    </row>
    <row r="307" spans="1:108" ht="152" customHeight="1" x14ac:dyDescent="0.45">
      <c r="A307" s="2">
        <v>0</v>
      </c>
      <c r="B307" s="2">
        <v>0</v>
      </c>
      <c r="C307" s="2"/>
      <c r="D307" s="2"/>
      <c r="E307" s="2" t="s">
        <v>7101</v>
      </c>
      <c r="F307" s="2"/>
      <c r="G307" s="2" t="s">
        <v>7101</v>
      </c>
      <c r="H307" s="2" t="s">
        <v>2916</v>
      </c>
      <c r="I307" s="2" t="s">
        <v>2916</v>
      </c>
      <c r="J307" s="2" t="s">
        <v>2917</v>
      </c>
      <c r="K307" s="2" t="s">
        <v>7101</v>
      </c>
      <c r="L307" s="2" t="s">
        <v>7101</v>
      </c>
      <c r="M307" s="2" t="s">
        <v>7102</v>
      </c>
      <c r="N307" s="2" t="s">
        <v>7103</v>
      </c>
      <c r="O307" s="2" t="s">
        <v>7104</v>
      </c>
      <c r="P307" s="2" t="s">
        <v>7105</v>
      </c>
      <c r="Q307" s="2" t="s">
        <v>7105</v>
      </c>
      <c r="R307" s="2" t="s">
        <v>7106</v>
      </c>
      <c r="S307" s="2" t="s">
        <v>7105</v>
      </c>
      <c r="T307" s="2">
        <v>73</v>
      </c>
      <c r="U307" s="2">
        <v>7</v>
      </c>
      <c r="V307" s="2" t="s">
        <v>7107</v>
      </c>
      <c r="W307" s="2"/>
      <c r="X307" s="2"/>
      <c r="Y307" s="2"/>
      <c r="Z307" s="2" t="s">
        <v>7108</v>
      </c>
      <c r="AA307" s="2" t="s">
        <v>7109</v>
      </c>
      <c r="AB307" s="2">
        <v>10</v>
      </c>
      <c r="AC307" s="2" t="s">
        <v>214</v>
      </c>
      <c r="AD307" s="2" t="s">
        <v>7110</v>
      </c>
      <c r="AE307" s="2">
        <v>211</v>
      </c>
      <c r="AF307" s="2" t="s">
        <v>141</v>
      </c>
      <c r="AG307" s="2"/>
      <c r="AH307" s="2"/>
      <c r="AI307" s="2"/>
      <c r="AJ307" s="2"/>
      <c r="AK307" s="2" t="s">
        <v>1816</v>
      </c>
      <c r="AL307" s="2" t="s">
        <v>1611</v>
      </c>
      <c r="AM307" s="2" t="s">
        <v>1611</v>
      </c>
      <c r="AN307" s="2" t="s">
        <v>1612</v>
      </c>
      <c r="AO307" s="2" t="s">
        <v>7111</v>
      </c>
      <c r="AP307" s="2">
        <v>340005530</v>
      </c>
      <c r="AQ307" s="2">
        <v>340005530</v>
      </c>
      <c r="AR307" s="2" t="s">
        <v>253</v>
      </c>
      <c r="AS307" s="2">
        <v>83123948</v>
      </c>
      <c r="AT307" s="2" t="s">
        <v>7112</v>
      </c>
      <c r="AU307" s="2"/>
      <c r="AV307" s="2"/>
      <c r="AW307" s="2" t="s">
        <v>1821</v>
      </c>
      <c r="AX307" s="2">
        <v>89900498</v>
      </c>
      <c r="AY307" s="2" t="s">
        <v>7113</v>
      </c>
      <c r="AZ307" s="2" t="s">
        <v>7114</v>
      </c>
      <c r="BA307" s="2" t="s">
        <v>2932</v>
      </c>
      <c r="BB307" s="2">
        <v>0</v>
      </c>
      <c r="BC307" s="3" t="str">
        <f>HYPERLINK("https://patentscout.innography.com/share/qm2M8AsvkhGQpPRgpBJjMA%3D%3D","CN115035220")</f>
        <v>CN115035220</v>
      </c>
      <c r="BD307" s="2" t="s">
        <v>7115</v>
      </c>
      <c r="BE307" s="2" t="s">
        <v>7116</v>
      </c>
      <c r="BF307" s="2" t="s">
        <v>7117</v>
      </c>
      <c r="BG307" s="2" t="str">
        <f>HYPERLINK("https://patentscout.innography.com/share/qm2M8AsvkhGQpPRgpBJjMA%3D%3D/download", "Download PDF")</f>
        <v>Download PDF</v>
      </c>
      <c r="BH307" s="2" t="s">
        <v>7118</v>
      </c>
      <c r="BI307" s="2"/>
      <c r="BJ307" s="2" t="s">
        <v>7113</v>
      </c>
      <c r="BK307" s="2" t="s">
        <v>7113</v>
      </c>
      <c r="BL307" s="2" t="s">
        <v>7113</v>
      </c>
      <c r="BM307" s="2"/>
      <c r="BN307" s="2"/>
      <c r="BO307" s="2"/>
      <c r="BP307" s="2"/>
      <c r="BQ307" s="2"/>
      <c r="BR307" s="2"/>
      <c r="BS307" s="2"/>
      <c r="BT307" s="2"/>
      <c r="BU307" s="2"/>
      <c r="BV307" s="2"/>
      <c r="BW307" s="2"/>
      <c r="BX307" s="2"/>
      <c r="BY307" s="2"/>
      <c r="BZ307" s="2"/>
      <c r="CA307" s="2"/>
      <c r="CB307" s="2"/>
      <c r="CC307" s="2" t="s">
        <v>1829</v>
      </c>
      <c r="CD307" s="2" t="str">
        <f>HYPERLINK("https://patentscout.innography.com/share/qm2M8AsvkhGQpPRgpBJjMA%3D%3D", "Innography Link")</f>
        <v>Innography Link</v>
      </c>
      <c r="CE307" s="2"/>
      <c r="CF307" s="2"/>
      <c r="CG307" s="2"/>
      <c r="CH307" s="2"/>
      <c r="CI307" s="2"/>
      <c r="CK307" s="2" t="s">
        <v>7119</v>
      </c>
      <c r="CL307" s="2" t="s">
        <v>7120</v>
      </c>
    </row>
    <row r="308" spans="1:108" ht="152" customHeight="1" x14ac:dyDescent="0.45">
      <c r="A308" s="2">
        <v>0</v>
      </c>
      <c r="B308" s="2">
        <v>0</v>
      </c>
      <c r="C308" s="2"/>
      <c r="D308" s="2"/>
      <c r="E308" s="2" t="s">
        <v>5576</v>
      </c>
      <c r="F308" s="2"/>
      <c r="G308" s="2" t="s">
        <v>5576</v>
      </c>
      <c r="H308" s="2" t="s">
        <v>1026</v>
      </c>
      <c r="I308" s="2" t="s">
        <v>1026</v>
      </c>
      <c r="J308" s="2" t="s">
        <v>1027</v>
      </c>
      <c r="K308" s="2" t="s">
        <v>5576</v>
      </c>
      <c r="L308" s="2" t="s">
        <v>5576</v>
      </c>
      <c r="M308" s="2" t="s">
        <v>7121</v>
      </c>
      <c r="N308" s="2" t="s">
        <v>7122</v>
      </c>
      <c r="O308" s="2"/>
      <c r="P308" s="2" t="s">
        <v>7123</v>
      </c>
      <c r="Q308" s="2" t="s">
        <v>7124</v>
      </c>
      <c r="R308" s="2" t="s">
        <v>7124</v>
      </c>
      <c r="S308" s="2" t="s">
        <v>7123</v>
      </c>
      <c r="T308" s="2">
        <v>73</v>
      </c>
      <c r="U308" s="2">
        <v>7</v>
      </c>
      <c r="V308" s="2" t="s">
        <v>7125</v>
      </c>
      <c r="W308" s="2"/>
      <c r="X308" s="2"/>
      <c r="Y308" s="2"/>
      <c r="Z308" s="2" t="s">
        <v>7126</v>
      </c>
      <c r="AA308" s="2" t="s">
        <v>7127</v>
      </c>
      <c r="AB308" s="2">
        <v>10</v>
      </c>
      <c r="AC308" s="2" t="s">
        <v>214</v>
      </c>
      <c r="AD308" s="2" t="s">
        <v>7128</v>
      </c>
      <c r="AE308" s="2">
        <v>248</v>
      </c>
      <c r="AF308" s="2" t="s">
        <v>141</v>
      </c>
      <c r="AG308" s="2"/>
      <c r="AH308" s="2"/>
      <c r="AI308" s="2"/>
      <c r="AJ308" s="2"/>
      <c r="AK308" s="2" t="s">
        <v>1816</v>
      </c>
      <c r="AL308" s="2" t="s">
        <v>7129</v>
      </c>
      <c r="AM308" s="2" t="s">
        <v>7129</v>
      </c>
      <c r="AN308" s="2" t="s">
        <v>7130</v>
      </c>
      <c r="AO308" s="2" t="s">
        <v>7131</v>
      </c>
      <c r="AP308" s="2">
        <v>713340000</v>
      </c>
      <c r="AQ308" s="2">
        <v>713340000</v>
      </c>
      <c r="AR308" s="2" t="s">
        <v>253</v>
      </c>
      <c r="AS308" s="2">
        <v>83069264</v>
      </c>
      <c r="AT308" s="2" t="s">
        <v>7132</v>
      </c>
      <c r="AU308" s="2"/>
      <c r="AV308" s="2"/>
      <c r="AW308" s="2" t="s">
        <v>1821</v>
      </c>
      <c r="AX308" s="2">
        <v>89908492</v>
      </c>
      <c r="AY308" s="2" t="s">
        <v>7133</v>
      </c>
      <c r="AZ308" s="2" t="s">
        <v>7134</v>
      </c>
      <c r="BA308" s="2" t="s">
        <v>1039</v>
      </c>
      <c r="BB308" s="2">
        <v>0</v>
      </c>
      <c r="BC308" s="3" t="str">
        <f>HYPERLINK("https://patentscout.innography.com/share/Bg9ZUuZbVfajflOJUdNing%3D%3D","CN115016788")</f>
        <v>CN115016788</v>
      </c>
      <c r="BD308" s="2" t="s">
        <v>7135</v>
      </c>
      <c r="BE308" s="2" t="s">
        <v>7136</v>
      </c>
      <c r="BF308" s="2" t="s">
        <v>7137</v>
      </c>
      <c r="BG308" s="2" t="str">
        <f>HYPERLINK("https://patentscout.innography.com/share/Bg9ZUuZbVfajflOJUdNing%3D%3D/download", "Download PDF")</f>
        <v>Download PDF</v>
      </c>
      <c r="BH308" s="2" t="s">
        <v>7138</v>
      </c>
      <c r="BI308" s="2"/>
      <c r="BJ308" s="2" t="s">
        <v>7133</v>
      </c>
      <c r="BK308" s="2" t="s">
        <v>7133</v>
      </c>
      <c r="BL308" s="2" t="s">
        <v>7133</v>
      </c>
      <c r="BM308" s="2"/>
      <c r="BN308" s="2"/>
      <c r="BO308" s="2"/>
      <c r="BP308" s="2"/>
      <c r="BQ308" s="2"/>
      <c r="BR308" s="2"/>
      <c r="BS308" s="2"/>
      <c r="BT308" s="2"/>
      <c r="BU308" s="2"/>
      <c r="BV308" s="2"/>
      <c r="BW308" s="2"/>
      <c r="BX308" s="2"/>
      <c r="BY308" s="2"/>
      <c r="BZ308" s="2"/>
      <c r="CA308" s="2"/>
      <c r="CB308" s="2"/>
      <c r="CC308" s="2" t="s">
        <v>1829</v>
      </c>
      <c r="CD308" s="2" t="str">
        <f>HYPERLINK("https://patentscout.innography.com/share/Bg9ZUuZbVfajflOJUdNing%3D%3D", "Innography Link")</f>
        <v>Innography Link</v>
      </c>
      <c r="CE308" s="2"/>
      <c r="CF308" s="2"/>
      <c r="CG308" s="2"/>
      <c r="CH308" s="2"/>
      <c r="CI308" s="2"/>
      <c r="CK308" s="2" t="s">
        <v>7139</v>
      </c>
    </row>
    <row r="309" spans="1:108" ht="152" customHeight="1" x14ac:dyDescent="0.45">
      <c r="A309" s="2">
        <v>0</v>
      </c>
      <c r="B309" s="2">
        <v>0</v>
      </c>
      <c r="C309" s="2"/>
      <c r="D309" s="2"/>
      <c r="E309" s="2" t="s">
        <v>7140</v>
      </c>
      <c r="F309" s="2"/>
      <c r="G309" s="2" t="s">
        <v>7140</v>
      </c>
      <c r="H309" s="2" t="s">
        <v>5246</v>
      </c>
      <c r="I309" s="2" t="s">
        <v>5247</v>
      </c>
      <c r="J309" s="2" t="s">
        <v>5248</v>
      </c>
      <c r="K309" s="2" t="s">
        <v>5249</v>
      </c>
      <c r="L309" s="2" t="s">
        <v>5249</v>
      </c>
      <c r="M309" s="2" t="s">
        <v>7141</v>
      </c>
      <c r="N309" s="2" t="s">
        <v>5251</v>
      </c>
      <c r="O309" s="2"/>
      <c r="P309" s="2" t="s">
        <v>5252</v>
      </c>
      <c r="Q309" s="2" t="s">
        <v>5253</v>
      </c>
      <c r="R309" s="2" t="s">
        <v>5253</v>
      </c>
      <c r="S309" s="2" t="s">
        <v>5252</v>
      </c>
      <c r="T309" s="2">
        <v>73</v>
      </c>
      <c r="U309" s="2">
        <v>8</v>
      </c>
      <c r="V309" s="2" t="s">
        <v>7142</v>
      </c>
      <c r="W309" s="2"/>
      <c r="X309" s="2"/>
      <c r="Y309" s="2"/>
      <c r="Z309" s="2" t="s">
        <v>7143</v>
      </c>
      <c r="AA309" s="2" t="s">
        <v>7144</v>
      </c>
      <c r="AB309" s="2">
        <v>10</v>
      </c>
      <c r="AC309" s="2" t="s">
        <v>139</v>
      </c>
      <c r="AD309" s="2" t="s">
        <v>5257</v>
      </c>
      <c r="AE309" s="2">
        <v>142</v>
      </c>
      <c r="AF309" s="2" t="s">
        <v>141</v>
      </c>
      <c r="AG309" s="2"/>
      <c r="AH309" s="2"/>
      <c r="AI309" s="2"/>
      <c r="AJ309" s="2"/>
      <c r="AK309" s="2" t="s">
        <v>7145</v>
      </c>
      <c r="AL309" s="2" t="s">
        <v>5258</v>
      </c>
      <c r="AM309" s="2" t="s">
        <v>5259</v>
      </c>
      <c r="AN309" s="2" t="s">
        <v>486</v>
      </c>
      <c r="AO309" s="2" t="s">
        <v>7146</v>
      </c>
      <c r="AP309" s="2">
        <v>705348000</v>
      </c>
      <c r="AQ309" s="2">
        <v>705348000</v>
      </c>
      <c r="AR309" s="2" t="s">
        <v>253</v>
      </c>
      <c r="AS309" s="2">
        <v>76300988</v>
      </c>
      <c r="AT309" s="2" t="s">
        <v>5262</v>
      </c>
      <c r="AU309" s="2"/>
      <c r="AV309" s="2"/>
      <c r="AW309" s="2" t="s">
        <v>7147</v>
      </c>
      <c r="AX309" s="2">
        <v>80915521</v>
      </c>
      <c r="AY309" s="2" t="s">
        <v>5263</v>
      </c>
      <c r="AZ309" s="2" t="s">
        <v>7148</v>
      </c>
      <c r="BA309" s="2" t="s">
        <v>5265</v>
      </c>
      <c r="BB309" s="2">
        <v>0</v>
      </c>
      <c r="BC309" s="3" t="str">
        <f>HYPERLINK("https://patentscout.innography.com/share/l7X71Zu3xMzqBBrZe_nfiw%3D%3D","AU2022202849")</f>
        <v>AU2022202849</v>
      </c>
      <c r="BD309" s="2" t="s">
        <v>7149</v>
      </c>
      <c r="BE309" s="2"/>
      <c r="BF309" s="2" t="s">
        <v>7150</v>
      </c>
      <c r="BG309" s="2" t="str">
        <f>HYPERLINK("https://patentscout.innography.com/share/l7X71Zu3xMzqBBrZe_nfiw%3D%3D/download", "Download PDF")</f>
        <v>Download PDF</v>
      </c>
      <c r="BH309" s="2" t="s">
        <v>7151</v>
      </c>
      <c r="BI309" s="2"/>
      <c r="BJ309" s="2" t="s">
        <v>7152</v>
      </c>
      <c r="BK309" s="2" t="s">
        <v>5271</v>
      </c>
      <c r="BL309" s="2" t="s">
        <v>5271</v>
      </c>
      <c r="BM309" s="2"/>
      <c r="BN309" s="2"/>
      <c r="BO309" s="2"/>
      <c r="BP309" s="2"/>
      <c r="BQ309" s="2"/>
      <c r="BR309" s="2"/>
      <c r="BS309" s="2"/>
      <c r="BT309" s="2"/>
      <c r="BU309" s="2" t="s">
        <v>7153</v>
      </c>
      <c r="BV309" s="2"/>
      <c r="BW309" s="2"/>
      <c r="BX309" s="2"/>
      <c r="BY309" s="2"/>
      <c r="BZ309" s="2"/>
      <c r="CA309" s="2"/>
      <c r="CB309" s="2"/>
      <c r="CC309" s="2" t="s">
        <v>7154</v>
      </c>
      <c r="CD309" s="2" t="str">
        <f>HYPERLINK("https://patentscout.innography.com/share/l7X71Zu3xMzqBBrZe_nfiw%3D%3D", "Innography Link")</f>
        <v>Innography Link</v>
      </c>
      <c r="CE309" s="2"/>
      <c r="CF309" s="2"/>
      <c r="CG309" s="2"/>
      <c r="CH309" s="2"/>
      <c r="CI309" s="2"/>
      <c r="CK309" s="2" t="s">
        <v>7155</v>
      </c>
      <c r="CL309" s="2" t="s">
        <v>7156</v>
      </c>
      <c r="CM309" s="2" t="s">
        <v>7157</v>
      </c>
    </row>
    <row r="310" spans="1:108" ht="152" customHeight="1" x14ac:dyDescent="0.45">
      <c r="A310" s="2">
        <v>0</v>
      </c>
      <c r="B310" s="2">
        <v>13</v>
      </c>
      <c r="C310" s="2"/>
      <c r="D310" s="2"/>
      <c r="E310" s="2" t="s">
        <v>1642</v>
      </c>
      <c r="F310" s="2" t="s">
        <v>1246</v>
      </c>
      <c r="G310" s="2" t="s">
        <v>1246</v>
      </c>
      <c r="H310" s="2" t="s">
        <v>7158</v>
      </c>
      <c r="I310" s="2" t="s">
        <v>7158</v>
      </c>
      <c r="J310" s="2" t="s">
        <v>7159</v>
      </c>
      <c r="K310" s="2" t="s">
        <v>1642</v>
      </c>
      <c r="L310" s="2" t="s">
        <v>1642</v>
      </c>
      <c r="M310" s="2" t="s">
        <v>7160</v>
      </c>
      <c r="N310" s="2" t="s">
        <v>7161</v>
      </c>
      <c r="O310" s="2"/>
      <c r="P310" s="2"/>
      <c r="Q310" s="2"/>
      <c r="R310" s="2"/>
      <c r="S310" s="2"/>
      <c r="T310" s="2">
        <v>73</v>
      </c>
      <c r="U310" s="2">
        <v>9</v>
      </c>
      <c r="V310" s="2" t="s">
        <v>7162</v>
      </c>
      <c r="W310" s="2"/>
      <c r="X310" s="2"/>
      <c r="Y310" s="2"/>
      <c r="Z310" s="2" t="s">
        <v>7163</v>
      </c>
      <c r="AA310" s="2" t="s">
        <v>7164</v>
      </c>
      <c r="AB310" s="2">
        <v>9</v>
      </c>
      <c r="AC310" s="2" t="s">
        <v>3878</v>
      </c>
      <c r="AD310" s="2"/>
      <c r="AE310" s="2">
        <v>572</v>
      </c>
      <c r="AF310" s="2" t="s">
        <v>141</v>
      </c>
      <c r="AG310" s="2"/>
      <c r="AH310" s="2"/>
      <c r="AI310" s="2" t="s">
        <v>7165</v>
      </c>
      <c r="AJ310" s="2"/>
      <c r="AK310" s="2" t="s">
        <v>1816</v>
      </c>
      <c r="AL310" s="2" t="s">
        <v>1373</v>
      </c>
      <c r="AM310" s="2" t="s">
        <v>1373</v>
      </c>
      <c r="AN310" s="2" t="s">
        <v>539</v>
      </c>
      <c r="AO310" s="2" t="s">
        <v>539</v>
      </c>
      <c r="AP310" s="2">
        <v>705348000</v>
      </c>
      <c r="AQ310" s="2">
        <v>705348000</v>
      </c>
      <c r="AR310" s="2" t="s">
        <v>253</v>
      </c>
      <c r="AS310" s="2">
        <v>83208071</v>
      </c>
      <c r="AT310" s="2" t="s">
        <v>7166</v>
      </c>
      <c r="AU310" s="2"/>
      <c r="AV310" s="2"/>
      <c r="AW310" s="2" t="s">
        <v>3879</v>
      </c>
      <c r="AX310" s="2">
        <v>90309430</v>
      </c>
      <c r="AY310" s="2" t="s">
        <v>7167</v>
      </c>
      <c r="AZ310" s="2" t="s">
        <v>7168</v>
      </c>
      <c r="BA310" s="2" t="s">
        <v>7169</v>
      </c>
      <c r="BB310" s="2">
        <v>0</v>
      </c>
      <c r="BC310" s="3" t="str">
        <f>HYPERLINK("https://patentscout.innography.com/share/2Nnds2xItcQChZs9Npf-xA%3D%3D","CN115063210")</f>
        <v>CN115063210</v>
      </c>
      <c r="BD310" s="2" t="s">
        <v>7170</v>
      </c>
      <c r="BE310" s="2" t="s">
        <v>7171</v>
      </c>
      <c r="BF310" s="2" t="s">
        <v>7172</v>
      </c>
      <c r="BG310" s="2" t="str">
        <f>HYPERLINK("https://patentscout.innography.com/share/2Nnds2xItcQChZs9Npf-xA%3D%3D/download", "Download PDF")</f>
        <v>Download PDF</v>
      </c>
      <c r="BH310" s="2" t="s">
        <v>7173</v>
      </c>
      <c r="BI310" s="2"/>
      <c r="BJ310" s="2" t="s">
        <v>7165</v>
      </c>
      <c r="BK310" s="2" t="s">
        <v>7165</v>
      </c>
      <c r="BL310" s="2" t="s">
        <v>7165</v>
      </c>
      <c r="BM310" s="2"/>
      <c r="BN310" s="2"/>
      <c r="BO310" s="2"/>
      <c r="BP310" s="2"/>
      <c r="BQ310" s="2"/>
      <c r="BR310" s="2"/>
      <c r="BS310" s="2"/>
      <c r="BT310" s="2"/>
      <c r="BU310" s="2"/>
      <c r="BV310" s="2"/>
      <c r="BW310" s="2"/>
      <c r="BX310" s="2"/>
      <c r="BY310" s="2"/>
      <c r="BZ310" s="2"/>
      <c r="CA310" s="2"/>
      <c r="CB310" s="2"/>
      <c r="CC310" s="2" t="s">
        <v>3884</v>
      </c>
      <c r="CD310" s="2" t="str">
        <f>HYPERLINK("https://patentscout.innography.com/share/2Nnds2xItcQChZs9Npf-xA%3D%3D", "Innography Link")</f>
        <v>Innography Link</v>
      </c>
      <c r="CE310" s="2"/>
      <c r="CF310" s="2"/>
      <c r="CG310" s="2"/>
      <c r="CH310" s="2"/>
      <c r="CI310" s="2"/>
      <c r="CK310" s="2" t="s">
        <v>7174</v>
      </c>
      <c r="CL310" s="2" t="s">
        <v>7175</v>
      </c>
    </row>
    <row r="311" spans="1:108" ht="152" customHeight="1" x14ac:dyDescent="0.45">
      <c r="A311" s="2">
        <v>101</v>
      </c>
      <c r="B311" s="2">
        <v>16</v>
      </c>
      <c r="C311" s="2" t="s">
        <v>7176</v>
      </c>
      <c r="D311" s="2" t="s">
        <v>7177</v>
      </c>
      <c r="E311" s="2" t="s">
        <v>7178</v>
      </c>
      <c r="F311" s="2"/>
      <c r="G311" s="2" t="s">
        <v>7178</v>
      </c>
      <c r="H311" s="2" t="s">
        <v>7179</v>
      </c>
      <c r="I311" s="2" t="s">
        <v>7179</v>
      </c>
      <c r="J311" s="2" t="s">
        <v>7180</v>
      </c>
      <c r="K311" s="2" t="s">
        <v>7178</v>
      </c>
      <c r="L311" s="2" t="s">
        <v>7178</v>
      </c>
      <c r="M311" s="2" t="s">
        <v>7181</v>
      </c>
      <c r="N311" s="2" t="s">
        <v>7182</v>
      </c>
      <c r="O311" s="2"/>
      <c r="P311" s="2" t="s">
        <v>5458</v>
      </c>
      <c r="Q311" s="2" t="s">
        <v>1396</v>
      </c>
      <c r="R311" s="2" t="s">
        <v>5459</v>
      </c>
      <c r="S311" s="2" t="s">
        <v>7183</v>
      </c>
      <c r="T311" s="2">
        <v>73</v>
      </c>
      <c r="U311" s="2">
        <v>76</v>
      </c>
      <c r="V311" s="2" t="s">
        <v>7184</v>
      </c>
      <c r="W311" s="2" t="s">
        <v>7185</v>
      </c>
      <c r="X311" s="2">
        <v>2167</v>
      </c>
      <c r="Y311" s="2" t="s">
        <v>7186</v>
      </c>
      <c r="Z311" s="2" t="s">
        <v>7187</v>
      </c>
      <c r="AA311" s="2" t="s">
        <v>7188</v>
      </c>
      <c r="AB311" s="2">
        <v>85</v>
      </c>
      <c r="AC311" s="2" t="s">
        <v>139</v>
      </c>
      <c r="AD311" s="2" t="s">
        <v>7189</v>
      </c>
      <c r="AE311" s="2">
        <v>42</v>
      </c>
      <c r="AF311" s="2" t="s">
        <v>180</v>
      </c>
      <c r="AG311" s="2"/>
      <c r="AH311" s="2"/>
      <c r="AI311" s="2"/>
      <c r="AJ311" s="2"/>
      <c r="AK311" s="2" t="s">
        <v>142</v>
      </c>
      <c r="AL311" s="2" t="s">
        <v>6270</v>
      </c>
      <c r="AM311" s="2" t="s">
        <v>7190</v>
      </c>
      <c r="AN311" s="2" t="s">
        <v>5281</v>
      </c>
      <c r="AO311" s="2" t="s">
        <v>7191</v>
      </c>
      <c r="AP311" s="2" t="s">
        <v>7192</v>
      </c>
      <c r="AQ311" s="2" t="s">
        <v>7193</v>
      </c>
      <c r="AR311" s="2" t="s">
        <v>1406</v>
      </c>
      <c r="AS311" s="2">
        <v>34104406</v>
      </c>
      <c r="AT311" s="2" t="s">
        <v>7194</v>
      </c>
      <c r="AU311" s="2"/>
      <c r="AV311" s="2"/>
      <c r="AW311" s="2" t="s">
        <v>148</v>
      </c>
      <c r="AX311" s="2">
        <v>662415</v>
      </c>
      <c r="AY311" s="2" t="s">
        <v>7195</v>
      </c>
      <c r="AZ311" s="2" t="s">
        <v>7196</v>
      </c>
      <c r="BA311" s="2" t="s">
        <v>306</v>
      </c>
      <c r="BB311" s="2">
        <v>0</v>
      </c>
      <c r="BC311" s="3" t="str">
        <f>HYPERLINK("https://patentscout.innography.com/share/B8AkUdMXVf41aXjGCZx3ew%3D%3D","US20050027713")</f>
        <v>US20050027713</v>
      </c>
      <c r="BD311" s="2" t="s">
        <v>7197</v>
      </c>
      <c r="BE311" s="2" t="s">
        <v>7198</v>
      </c>
      <c r="BF311" s="2" t="s">
        <v>7199</v>
      </c>
      <c r="BG311" s="2" t="str">
        <f>HYPERLINK("https://patentscout.innography.com/share/B8AkUdMXVf41aXjGCZx3ew%3D%3D/download", "Download PDF")</f>
        <v>Download PDF</v>
      </c>
      <c r="BH311" s="2" t="s">
        <v>7200</v>
      </c>
      <c r="BI311" s="2"/>
      <c r="BJ311" s="2" t="s">
        <v>7195</v>
      </c>
      <c r="BK311" s="2" t="s">
        <v>7195</v>
      </c>
      <c r="BL311" s="2" t="s">
        <v>7195</v>
      </c>
      <c r="BM311" s="2" t="s">
        <v>7201</v>
      </c>
      <c r="BN311" s="2" t="s">
        <v>7202</v>
      </c>
      <c r="BO311" s="2" t="s">
        <v>7203</v>
      </c>
      <c r="BP311" s="2" t="s">
        <v>7204</v>
      </c>
      <c r="BQ311" s="2" t="s">
        <v>7205</v>
      </c>
      <c r="BR311" s="2" t="s">
        <v>7206</v>
      </c>
      <c r="BS311" s="2" t="s">
        <v>7207</v>
      </c>
      <c r="BT311" s="2" t="s">
        <v>7208</v>
      </c>
      <c r="BU311" s="2" t="s">
        <v>7209</v>
      </c>
      <c r="BV311" s="2"/>
      <c r="BW311" s="2" t="s">
        <v>204</v>
      </c>
      <c r="BX311" s="2"/>
      <c r="BY311" s="2"/>
      <c r="BZ311" s="2"/>
      <c r="CA311" s="2"/>
      <c r="CB311" s="2"/>
      <c r="CC311" s="2" t="s">
        <v>158</v>
      </c>
      <c r="CD311" s="2" t="str">
        <f>HYPERLINK("https://patentscout.innography.com/share/B8AkUdMXVf41aXjGCZx3ew%3D%3D", "Innography Link")</f>
        <v>Innography Link</v>
      </c>
      <c r="CE311" s="2"/>
      <c r="CF311" s="2"/>
      <c r="CG311" s="2"/>
      <c r="CH311" s="2"/>
      <c r="CI311" s="2"/>
      <c r="CK311" s="2" t="s">
        <v>7210</v>
      </c>
      <c r="CL311" s="2" t="s">
        <v>7211</v>
      </c>
      <c r="CM311" s="2" t="s">
        <v>7212</v>
      </c>
      <c r="CN311" s="2" t="s">
        <v>7213</v>
      </c>
      <c r="CO311" s="2" t="s">
        <v>7214</v>
      </c>
      <c r="CP311" s="2" t="s">
        <v>7215</v>
      </c>
      <c r="CQ311" s="2" t="s">
        <v>7216</v>
      </c>
    </row>
    <row r="312" spans="1:108" ht="152" customHeight="1" x14ac:dyDescent="0.45">
      <c r="A312" s="2">
        <v>0</v>
      </c>
      <c r="B312" s="2">
        <v>0</v>
      </c>
      <c r="C312" s="2"/>
      <c r="D312" s="2"/>
      <c r="E312" s="2"/>
      <c r="F312" s="2" t="s">
        <v>7217</v>
      </c>
      <c r="G312" s="2" t="s">
        <v>7217</v>
      </c>
      <c r="H312" s="2" t="s">
        <v>7218</v>
      </c>
      <c r="I312" s="2" t="s">
        <v>7219</v>
      </c>
      <c r="J312" s="2" t="s">
        <v>6444</v>
      </c>
      <c r="K312" s="2" t="s">
        <v>7220</v>
      </c>
      <c r="L312" s="2" t="s">
        <v>7221</v>
      </c>
      <c r="M312" s="2" t="s">
        <v>7222</v>
      </c>
      <c r="N312" s="2" t="s">
        <v>7223</v>
      </c>
      <c r="O312" s="2" t="s">
        <v>7224</v>
      </c>
      <c r="P312" s="2" t="s">
        <v>7225</v>
      </c>
      <c r="Q312" s="2" t="s">
        <v>1446</v>
      </c>
      <c r="R312" s="2" t="s">
        <v>7226</v>
      </c>
      <c r="S312" s="2" t="s">
        <v>7225</v>
      </c>
      <c r="T312" s="2">
        <v>73</v>
      </c>
      <c r="U312" s="2">
        <v>32</v>
      </c>
      <c r="V312" s="2" t="s">
        <v>7227</v>
      </c>
      <c r="W312" s="2"/>
      <c r="X312" s="2"/>
      <c r="Y312" s="2"/>
      <c r="Z312" s="2" t="s">
        <v>7228</v>
      </c>
      <c r="AA312" s="2" t="s">
        <v>7228</v>
      </c>
      <c r="AB312" s="2">
        <v>37</v>
      </c>
      <c r="AC312" s="2" t="s">
        <v>3878</v>
      </c>
      <c r="AD312" s="2" t="s">
        <v>7229</v>
      </c>
      <c r="AE312" s="2">
        <v>148</v>
      </c>
      <c r="AF312" s="2" t="s">
        <v>180</v>
      </c>
      <c r="AG312" s="2"/>
      <c r="AH312" s="2"/>
      <c r="AI312" s="2"/>
      <c r="AJ312" s="2"/>
      <c r="AK312" s="2" t="s">
        <v>2545</v>
      </c>
      <c r="AL312" s="2" t="s">
        <v>7230</v>
      </c>
      <c r="AM312" s="2" t="s">
        <v>7231</v>
      </c>
      <c r="AN312" s="2" t="s">
        <v>7232</v>
      </c>
      <c r="AO312" s="2" t="s">
        <v>7233</v>
      </c>
      <c r="AP312" s="2">
        <v>345618000</v>
      </c>
      <c r="AQ312" s="2">
        <v>345618000</v>
      </c>
      <c r="AR312" s="2" t="s">
        <v>415</v>
      </c>
      <c r="AS312" s="2">
        <v>27458936</v>
      </c>
      <c r="AT312" s="2" t="s">
        <v>7234</v>
      </c>
      <c r="AU312" s="2"/>
      <c r="AV312" s="2"/>
      <c r="AW312" s="2" t="s">
        <v>7235</v>
      </c>
      <c r="AX312" s="2">
        <v>2837048</v>
      </c>
      <c r="AY312" s="2" t="s">
        <v>7236</v>
      </c>
      <c r="AZ312" s="2" t="s">
        <v>7237</v>
      </c>
      <c r="BA312" s="2" t="s">
        <v>255</v>
      </c>
      <c r="BB312" s="2">
        <v>0</v>
      </c>
      <c r="BC312" s="3" t="str">
        <f>HYPERLINK("https://patentscout.innography.com/share/28mULxtl93NX7OsgDrMXmw%3D%3D","TW418382")</f>
        <v>TW418382</v>
      </c>
      <c r="BD312" s="2" t="s">
        <v>7238</v>
      </c>
      <c r="BE312" s="2" t="s">
        <v>7239</v>
      </c>
      <c r="BF312" s="2" t="s">
        <v>7240</v>
      </c>
      <c r="BG312" s="2" t="str">
        <f>HYPERLINK("https://patentscout.innography.com/share/28mULxtl93NX7OsgDrMXmw%3D%3D/download", "Download PDF")</f>
        <v>Download PDF</v>
      </c>
      <c r="BH312" s="2" t="s">
        <v>7241</v>
      </c>
      <c r="BI312" s="2"/>
      <c r="BJ312" s="2" t="s">
        <v>7242</v>
      </c>
      <c r="BK312" s="2" t="s">
        <v>7243</v>
      </c>
      <c r="BL312" s="2" t="s">
        <v>7244</v>
      </c>
      <c r="BM312" s="2"/>
      <c r="BN312" s="2"/>
      <c r="BO312" s="2"/>
      <c r="BP312" s="2"/>
      <c r="BQ312" s="2"/>
      <c r="BR312" s="2"/>
      <c r="BS312" s="2"/>
      <c r="BT312" s="2"/>
      <c r="BU312" s="2"/>
      <c r="BV312" s="2"/>
      <c r="BW312" s="2"/>
      <c r="BX312" s="2"/>
      <c r="BY312" s="2"/>
      <c r="BZ312" s="2"/>
      <c r="CA312" s="2"/>
      <c r="CB312" s="2"/>
      <c r="CC312" s="2" t="s">
        <v>2558</v>
      </c>
      <c r="CD312" s="2" t="str">
        <f>HYPERLINK("https://patentscout.innography.com/share/28mULxtl93NX7OsgDrMXmw%3D%3D", "Innography Link")</f>
        <v>Innography Link</v>
      </c>
      <c r="CE312" s="2"/>
      <c r="CF312" s="2"/>
      <c r="CG312" s="2"/>
      <c r="CH312" s="2"/>
      <c r="CI312" s="2"/>
      <c r="CK312" s="2" t="s">
        <v>7245</v>
      </c>
    </row>
    <row r="313" spans="1:108" ht="152" customHeight="1" x14ac:dyDescent="0.45">
      <c r="A313" s="2">
        <v>1</v>
      </c>
      <c r="B313" s="2">
        <v>0</v>
      </c>
      <c r="C313" s="2"/>
      <c r="D313" s="2" t="s">
        <v>2940</v>
      </c>
      <c r="E313" s="2" t="s">
        <v>7246</v>
      </c>
      <c r="F313" s="2" t="s">
        <v>7247</v>
      </c>
      <c r="G313" s="2" t="s">
        <v>7246</v>
      </c>
      <c r="H313" s="2" t="s">
        <v>7248</v>
      </c>
      <c r="I313" s="2" t="s">
        <v>7248</v>
      </c>
      <c r="J313" s="2" t="s">
        <v>7247</v>
      </c>
      <c r="K313" s="2" t="s">
        <v>7246</v>
      </c>
      <c r="L313" s="2" t="s">
        <v>7246</v>
      </c>
      <c r="M313" s="2" t="s">
        <v>7249</v>
      </c>
      <c r="N313" s="2" t="s">
        <v>7250</v>
      </c>
      <c r="O313" s="2" t="s">
        <v>7251</v>
      </c>
      <c r="P313" s="2" t="s">
        <v>7252</v>
      </c>
      <c r="Q313" s="2" t="s">
        <v>7253</v>
      </c>
      <c r="R313" s="2" t="s">
        <v>7253</v>
      </c>
      <c r="S313" s="2" t="s">
        <v>7252</v>
      </c>
      <c r="T313" s="2">
        <v>73</v>
      </c>
      <c r="U313" s="2">
        <v>10</v>
      </c>
      <c r="V313" s="2" t="s">
        <v>7254</v>
      </c>
      <c r="W313" s="2"/>
      <c r="X313" s="2"/>
      <c r="Y313" s="2"/>
      <c r="Z313" s="2" t="s">
        <v>7255</v>
      </c>
      <c r="AA313" s="2" t="s">
        <v>7255</v>
      </c>
      <c r="AB313" s="2">
        <v>12</v>
      </c>
      <c r="AC313" s="2" t="s">
        <v>214</v>
      </c>
      <c r="AD313" s="2" t="s">
        <v>7256</v>
      </c>
      <c r="AE313" s="2">
        <v>69</v>
      </c>
      <c r="AF313" s="2" t="s">
        <v>180</v>
      </c>
      <c r="AG313" s="2"/>
      <c r="AH313" s="2"/>
      <c r="AI313" s="2" t="s">
        <v>7257</v>
      </c>
      <c r="AJ313" s="2"/>
      <c r="AK313" s="2" t="s">
        <v>217</v>
      </c>
      <c r="AL313" s="2" t="s">
        <v>7258</v>
      </c>
      <c r="AM313" s="2" t="s">
        <v>7259</v>
      </c>
      <c r="AN313" s="2" t="s">
        <v>7260</v>
      </c>
      <c r="AO313" s="2" t="s">
        <v>7261</v>
      </c>
      <c r="AP313" s="2">
        <v>712021000</v>
      </c>
      <c r="AQ313" s="2">
        <v>712021000</v>
      </c>
      <c r="AR313" s="2" t="s">
        <v>541</v>
      </c>
      <c r="AS313" s="2">
        <v>46611485</v>
      </c>
      <c r="AT313" s="2" t="s">
        <v>7262</v>
      </c>
      <c r="AU313" s="2"/>
      <c r="AV313" s="2"/>
      <c r="AW313" s="2" t="s">
        <v>219</v>
      </c>
      <c r="AX313" s="2">
        <v>38332524</v>
      </c>
      <c r="AY313" s="2" t="s">
        <v>7263</v>
      </c>
      <c r="AZ313" s="2" t="s">
        <v>7264</v>
      </c>
      <c r="BA313" s="2" t="s">
        <v>7265</v>
      </c>
      <c r="BB313" s="2">
        <v>0</v>
      </c>
      <c r="BC313" s="3" t="str">
        <f>HYPERLINK("https://patentscout.innography.com/share/AFh9fL0vRLdmKM6Klkgwkw%3D%3D","KR20120060597")</f>
        <v>KR20120060597</v>
      </c>
      <c r="BD313" s="2" t="s">
        <v>7266</v>
      </c>
      <c r="BE313" s="2" t="s">
        <v>7267</v>
      </c>
      <c r="BF313" s="2" t="s">
        <v>7268</v>
      </c>
      <c r="BG313" s="2" t="str">
        <f>HYPERLINK("https://patentscout.innography.com/share/AFh9fL0vRLdmKM6Klkgwkw%3D%3D/download", "Download PDF")</f>
        <v>Download PDF</v>
      </c>
      <c r="BH313" s="2" t="s">
        <v>7269</v>
      </c>
      <c r="BI313" s="2"/>
      <c r="BJ313" s="2" t="s">
        <v>7270</v>
      </c>
      <c r="BK313" s="2" t="s">
        <v>7270</v>
      </c>
      <c r="BL313" s="2" t="s">
        <v>7270</v>
      </c>
      <c r="BM313" s="2"/>
      <c r="BN313" s="2"/>
      <c r="BO313" s="2"/>
      <c r="BP313" s="2"/>
      <c r="BQ313" s="2"/>
      <c r="BR313" s="2"/>
      <c r="BS313" s="2"/>
      <c r="BT313" s="2"/>
      <c r="BU313" s="2" t="s">
        <v>7271</v>
      </c>
      <c r="BV313" s="2" t="s">
        <v>7272</v>
      </c>
      <c r="BW313" s="2"/>
      <c r="BX313" s="2"/>
      <c r="BY313" s="2"/>
      <c r="BZ313" s="2"/>
      <c r="CA313" s="2"/>
      <c r="CB313" s="2"/>
      <c r="CC313" s="2" t="s">
        <v>228</v>
      </c>
      <c r="CD313" s="2" t="str">
        <f>HYPERLINK("https://patentscout.innography.com/share/AFh9fL0vRLdmKM6Klkgwkw%3D%3D", "Innography Link")</f>
        <v>Innography Link</v>
      </c>
      <c r="CE313" s="2"/>
      <c r="CF313" s="2"/>
      <c r="CG313" s="2"/>
      <c r="CH313" s="2"/>
      <c r="CI313" s="2"/>
      <c r="CK313" s="2" t="s">
        <v>7273</v>
      </c>
      <c r="CL313" s="2" t="s">
        <v>7274</v>
      </c>
    </row>
    <row r="314" spans="1:108" ht="152" customHeight="1" x14ac:dyDescent="0.45">
      <c r="A314" s="2">
        <v>1</v>
      </c>
      <c r="B314" s="2">
        <v>0</v>
      </c>
      <c r="C314" s="2"/>
      <c r="D314" s="2" t="s">
        <v>7275</v>
      </c>
      <c r="E314" s="2" t="s">
        <v>7276</v>
      </c>
      <c r="F314" s="2" t="s">
        <v>3180</v>
      </c>
      <c r="G314" s="2" t="s">
        <v>3180</v>
      </c>
      <c r="H314" s="2" t="s">
        <v>7277</v>
      </c>
      <c r="I314" s="2" t="s">
        <v>7278</v>
      </c>
      <c r="J314" s="2" t="s">
        <v>7279</v>
      </c>
      <c r="K314" s="2" t="s">
        <v>7280</v>
      </c>
      <c r="L314" s="2" t="s">
        <v>7280</v>
      </c>
      <c r="M314" s="2" t="s">
        <v>7281</v>
      </c>
      <c r="N314" s="2" t="s">
        <v>7282</v>
      </c>
      <c r="O314" s="2" t="s">
        <v>7283</v>
      </c>
      <c r="P314" s="2"/>
      <c r="Q314" s="2" t="s">
        <v>7284</v>
      </c>
      <c r="R314" s="2" t="s">
        <v>7284</v>
      </c>
      <c r="S314" s="2"/>
      <c r="T314" s="2">
        <v>73</v>
      </c>
      <c r="U314" s="2">
        <v>71</v>
      </c>
      <c r="V314" s="2" t="s">
        <v>7285</v>
      </c>
      <c r="W314" s="2"/>
      <c r="X314" s="2"/>
      <c r="Y314" s="2"/>
      <c r="Z314" s="2" t="s">
        <v>7286</v>
      </c>
      <c r="AA314" s="2" t="s">
        <v>7287</v>
      </c>
      <c r="AB314" s="2">
        <v>19</v>
      </c>
      <c r="AC314" s="2" t="s">
        <v>3878</v>
      </c>
      <c r="AD314" s="2" t="s">
        <v>7288</v>
      </c>
      <c r="AE314" s="2">
        <v>225</v>
      </c>
      <c r="AF314" s="2" t="s">
        <v>141</v>
      </c>
      <c r="AG314" s="2"/>
      <c r="AH314" s="2"/>
      <c r="AI314" s="2" t="s">
        <v>7289</v>
      </c>
      <c r="AJ314" s="2"/>
      <c r="AK314" s="2" t="s">
        <v>1816</v>
      </c>
      <c r="AL314" s="2" t="s">
        <v>7290</v>
      </c>
      <c r="AM314" s="2" t="s">
        <v>7291</v>
      </c>
      <c r="AN314" s="2" t="s">
        <v>7292</v>
      </c>
      <c r="AO314" s="2" t="s">
        <v>7293</v>
      </c>
      <c r="AP314" s="2">
        <v>273297000</v>
      </c>
      <c r="AQ314" s="2">
        <v>273297000</v>
      </c>
      <c r="AR314" s="2" t="s">
        <v>1406</v>
      </c>
      <c r="AS314" s="2">
        <v>55346218</v>
      </c>
      <c r="AT314" s="2" t="s">
        <v>7294</v>
      </c>
      <c r="AU314" s="2"/>
      <c r="AV314" s="2"/>
      <c r="AW314" s="2" t="s">
        <v>6461</v>
      </c>
      <c r="AX314" s="2">
        <v>49359645</v>
      </c>
      <c r="AY314" s="2" t="s">
        <v>7295</v>
      </c>
      <c r="AZ314" s="2" t="s">
        <v>7296</v>
      </c>
      <c r="BA314" s="2" t="s">
        <v>7297</v>
      </c>
      <c r="BB314" s="2">
        <v>0</v>
      </c>
      <c r="BC314" s="3" t="str">
        <f>HYPERLINK("https://patentscout.innography.com/share/udUu5A9vFl33kjlZmZggGQ%3D%3D","CN107427722")</f>
        <v>CN107427722</v>
      </c>
      <c r="BD314" s="2" t="s">
        <v>7298</v>
      </c>
      <c r="BE314" s="2" t="s">
        <v>7299</v>
      </c>
      <c r="BF314" s="2" t="s">
        <v>7300</v>
      </c>
      <c r="BG314" s="2" t="str">
        <f>HYPERLINK("https://patentscout.innography.com/share/udUu5A9vFl33kjlZmZggGQ%3D%3D/download", "Download PDF")</f>
        <v>Download PDF</v>
      </c>
      <c r="BH314" s="2" t="s">
        <v>7301</v>
      </c>
      <c r="BI314" s="2" t="s">
        <v>7302</v>
      </c>
      <c r="BJ314" s="2" t="s">
        <v>7289</v>
      </c>
      <c r="BK314" s="2" t="s">
        <v>7303</v>
      </c>
      <c r="BL314" s="2" t="s">
        <v>7303</v>
      </c>
      <c r="BM314" s="2"/>
      <c r="BN314" s="2"/>
      <c r="BO314" s="2"/>
      <c r="BP314" s="2"/>
      <c r="BQ314" s="2"/>
      <c r="BR314" s="2"/>
      <c r="BS314" s="2"/>
      <c r="BT314" s="2"/>
      <c r="BU314" s="2"/>
      <c r="BV314" s="2" t="s">
        <v>7304</v>
      </c>
      <c r="BW314" s="2"/>
      <c r="BX314" s="2"/>
      <c r="BY314" s="2"/>
      <c r="BZ314" s="2"/>
      <c r="CA314" s="2"/>
      <c r="CB314" s="2"/>
      <c r="CC314" s="2" t="s">
        <v>3884</v>
      </c>
      <c r="CD314" s="2" t="str">
        <f>HYPERLINK("https://patentscout.innography.com/share/udUu5A9vFl33kjlZmZggGQ%3D%3D", "Innography Link")</f>
        <v>Innography Link</v>
      </c>
      <c r="CE314" s="2"/>
      <c r="CF314" s="2"/>
      <c r="CG314" s="2"/>
      <c r="CH314" s="2"/>
      <c r="CI314" s="2"/>
      <c r="CK314" s="2" t="s">
        <v>7305</v>
      </c>
      <c r="CL314" s="2" t="s">
        <v>7306</v>
      </c>
      <c r="CM314" s="2" t="s">
        <v>7307</v>
      </c>
    </row>
    <row r="315" spans="1:108" ht="152" customHeight="1" x14ac:dyDescent="0.45">
      <c r="A315" s="2">
        <v>5</v>
      </c>
      <c r="B315" s="2">
        <v>13</v>
      </c>
      <c r="C315" s="2" t="s">
        <v>7308</v>
      </c>
      <c r="D315" s="2" t="s">
        <v>7309</v>
      </c>
      <c r="E315" s="2" t="s">
        <v>7310</v>
      </c>
      <c r="F315" s="2"/>
      <c r="G315" s="2" t="s">
        <v>7310</v>
      </c>
      <c r="H315" s="2" t="s">
        <v>7311</v>
      </c>
      <c r="I315" s="2" t="s">
        <v>7311</v>
      </c>
      <c r="J315" s="2" t="s">
        <v>7312</v>
      </c>
      <c r="K315" s="2" t="s">
        <v>7310</v>
      </c>
      <c r="L315" s="2" t="s">
        <v>7310</v>
      </c>
      <c r="M315" s="2" t="s">
        <v>7313</v>
      </c>
      <c r="N315" s="2" t="s">
        <v>7314</v>
      </c>
      <c r="O315" s="2"/>
      <c r="P315" s="2" t="s">
        <v>381</v>
      </c>
      <c r="Q315" s="2" t="s">
        <v>382</v>
      </c>
      <c r="R315" s="2" t="s">
        <v>382</v>
      </c>
      <c r="S315" s="2" t="s">
        <v>381</v>
      </c>
      <c r="T315" s="2">
        <v>73</v>
      </c>
      <c r="U315" s="2">
        <v>19</v>
      </c>
      <c r="V315" s="2" t="s">
        <v>7315</v>
      </c>
      <c r="W315" s="2" t="s">
        <v>7316</v>
      </c>
      <c r="X315" s="2">
        <v>2458</v>
      </c>
      <c r="Y315" s="2" t="s">
        <v>7317</v>
      </c>
      <c r="Z315" s="2" t="s">
        <v>7318</v>
      </c>
      <c r="AA315" s="2" t="s">
        <v>7319</v>
      </c>
      <c r="AB315" s="2">
        <v>5</v>
      </c>
      <c r="AC315" s="2" t="s">
        <v>139</v>
      </c>
      <c r="AD315" s="2" t="s">
        <v>7320</v>
      </c>
      <c r="AE315" s="2">
        <v>90</v>
      </c>
      <c r="AF315" s="2" t="s">
        <v>180</v>
      </c>
      <c r="AG315" s="2"/>
      <c r="AH315" s="2"/>
      <c r="AI315" s="2"/>
      <c r="AJ315" s="2"/>
      <c r="AK315" s="2" t="s">
        <v>142</v>
      </c>
      <c r="AL315" s="2" t="s">
        <v>7321</v>
      </c>
      <c r="AM315" s="2" t="s">
        <v>7321</v>
      </c>
      <c r="AN315" s="2" t="s">
        <v>218</v>
      </c>
      <c r="AO315" s="2" t="s">
        <v>218</v>
      </c>
      <c r="AP315" s="2">
        <v>709204000</v>
      </c>
      <c r="AQ315" s="2">
        <v>709204000</v>
      </c>
      <c r="AR315" s="2" t="s">
        <v>541</v>
      </c>
      <c r="AS315" s="2">
        <v>40789927</v>
      </c>
      <c r="AT315" s="2" t="s">
        <v>7322</v>
      </c>
      <c r="AU315" s="2"/>
      <c r="AV315" s="2"/>
      <c r="AW315" s="2" t="s">
        <v>148</v>
      </c>
      <c r="AX315" s="2">
        <v>31675162</v>
      </c>
      <c r="AY315" s="2" t="s">
        <v>7323</v>
      </c>
      <c r="AZ315" s="2" t="s">
        <v>7324</v>
      </c>
      <c r="BA315" s="2" t="s">
        <v>306</v>
      </c>
      <c r="BB315" s="2">
        <v>0</v>
      </c>
      <c r="BC315" s="3" t="str">
        <f>HYPERLINK("https://patentscout.innography.com/share/k0mQWBYSPfn_i-JbmCmd_A%3D%3D","US20090164573")</f>
        <v>US20090164573</v>
      </c>
      <c r="BD315" s="2" t="s">
        <v>7325</v>
      </c>
      <c r="BE315" s="2" t="s">
        <v>7326</v>
      </c>
      <c r="BF315" s="2" t="s">
        <v>7327</v>
      </c>
      <c r="BG315" s="2" t="str">
        <f>HYPERLINK("https://patentscout.innography.com/share/k0mQWBYSPfn_i-JbmCmd_A%3D%3D/download", "Download PDF")</f>
        <v>Download PDF</v>
      </c>
      <c r="BH315" s="2" t="s">
        <v>7328</v>
      </c>
      <c r="BI315" s="2"/>
      <c r="BJ315" s="2" t="s">
        <v>7323</v>
      </c>
      <c r="BK315" s="2" t="s">
        <v>7323</v>
      </c>
      <c r="BL315" s="2" t="s">
        <v>7323</v>
      </c>
      <c r="BM315" s="2" t="s">
        <v>1682</v>
      </c>
      <c r="BN315" s="2" t="s">
        <v>3628</v>
      </c>
      <c r="BO315" s="2" t="s">
        <v>7329</v>
      </c>
      <c r="BP315" s="2"/>
      <c r="BQ315" s="2" t="s">
        <v>3629</v>
      </c>
      <c r="BR315" s="2"/>
      <c r="BS315" s="2" t="s">
        <v>4479</v>
      </c>
      <c r="BT315" s="2" t="s">
        <v>7330</v>
      </c>
      <c r="BU315" s="2" t="s">
        <v>704</v>
      </c>
      <c r="BV315" s="2"/>
      <c r="BW315" s="2" t="s">
        <v>204</v>
      </c>
      <c r="BX315" s="2"/>
      <c r="BY315" s="2"/>
      <c r="BZ315" s="2"/>
      <c r="CA315" s="2"/>
      <c r="CB315" s="2"/>
      <c r="CC315" s="2" t="s">
        <v>158</v>
      </c>
      <c r="CD315" s="2" t="str">
        <f>HYPERLINK("https://patentscout.innography.com/share/k0mQWBYSPfn_i-JbmCmd_A%3D%3D", "Innography Link")</f>
        <v>Innography Link</v>
      </c>
      <c r="CE315" s="2"/>
      <c r="CF315" s="2"/>
      <c r="CG315" s="2"/>
      <c r="CH315" s="2"/>
      <c r="CI315" s="2"/>
      <c r="CK315" s="2" t="s">
        <v>7331</v>
      </c>
    </row>
    <row r="316" spans="1:108" ht="152" customHeight="1" x14ac:dyDescent="0.45">
      <c r="A316" s="2">
        <v>3</v>
      </c>
      <c r="B316" s="2">
        <v>0</v>
      </c>
      <c r="C316" s="2"/>
      <c r="D316" s="2" t="s">
        <v>7332</v>
      </c>
      <c r="E316" s="2" t="s">
        <v>7333</v>
      </c>
      <c r="F316" s="2" t="s">
        <v>7334</v>
      </c>
      <c r="G316" s="2" t="s">
        <v>7333</v>
      </c>
      <c r="H316" s="2" t="s">
        <v>7335</v>
      </c>
      <c r="I316" s="2" t="s">
        <v>7335</v>
      </c>
      <c r="J316" s="2" t="s">
        <v>7334</v>
      </c>
      <c r="K316" s="2" t="s">
        <v>7333</v>
      </c>
      <c r="L316" s="2" t="s">
        <v>7333</v>
      </c>
      <c r="M316" s="2" t="s">
        <v>7336</v>
      </c>
      <c r="N316" s="2" t="s">
        <v>7337</v>
      </c>
      <c r="O316" s="2" t="s">
        <v>7338</v>
      </c>
      <c r="P316" s="2" t="s">
        <v>173</v>
      </c>
      <c r="Q316" s="2" t="s">
        <v>173</v>
      </c>
      <c r="R316" s="2" t="s">
        <v>173</v>
      </c>
      <c r="S316" s="2" t="s">
        <v>7339</v>
      </c>
      <c r="T316" s="2">
        <v>73</v>
      </c>
      <c r="U316" s="2">
        <v>12</v>
      </c>
      <c r="V316" s="2" t="s">
        <v>7340</v>
      </c>
      <c r="W316" s="2"/>
      <c r="X316" s="2"/>
      <c r="Y316" s="2"/>
      <c r="Z316" s="2" t="s">
        <v>7341</v>
      </c>
      <c r="AA316" s="2" t="s">
        <v>7341</v>
      </c>
      <c r="AB316" s="2">
        <v>8</v>
      </c>
      <c r="AC316" s="2" t="s">
        <v>214</v>
      </c>
      <c r="AD316" s="2" t="s">
        <v>7342</v>
      </c>
      <c r="AE316" s="2">
        <v>86</v>
      </c>
      <c r="AF316" s="2" t="s">
        <v>180</v>
      </c>
      <c r="AG316" s="2"/>
      <c r="AH316" s="2"/>
      <c r="AI316" s="2" t="s">
        <v>7343</v>
      </c>
      <c r="AJ316" s="2"/>
      <c r="AK316" s="2" t="s">
        <v>217</v>
      </c>
      <c r="AL316" s="2" t="s">
        <v>7344</v>
      </c>
      <c r="AM316" s="2" t="s">
        <v>7345</v>
      </c>
      <c r="AN316" s="2" t="s">
        <v>7346</v>
      </c>
      <c r="AO316" s="2" t="s">
        <v>7347</v>
      </c>
      <c r="AP316" s="2">
        <v>235386000</v>
      </c>
      <c r="AQ316" s="2">
        <v>235386000</v>
      </c>
      <c r="AR316" s="2" t="s">
        <v>541</v>
      </c>
      <c r="AS316" s="2">
        <v>40860724</v>
      </c>
      <c r="AT316" s="2" t="s">
        <v>7348</v>
      </c>
      <c r="AU316" s="2"/>
      <c r="AV316" s="2"/>
      <c r="AW316" s="2" t="s">
        <v>219</v>
      </c>
      <c r="AX316" s="2">
        <v>31739449</v>
      </c>
      <c r="AY316" s="2" t="s">
        <v>7349</v>
      </c>
      <c r="AZ316" s="2" t="s">
        <v>7350</v>
      </c>
      <c r="BA316" s="2" t="s">
        <v>7351</v>
      </c>
      <c r="BB316" s="2">
        <v>0</v>
      </c>
      <c r="BC316" s="3" t="str">
        <f>HYPERLINK("https://patentscout.innography.com/share/VvgseLaz-mPtDUPH8pnx1w%3D%3D","KR20090053183")</f>
        <v>KR20090053183</v>
      </c>
      <c r="BD316" s="2" t="s">
        <v>7352</v>
      </c>
      <c r="BE316" s="2" t="s">
        <v>7353</v>
      </c>
      <c r="BF316" s="2" t="s">
        <v>7354</v>
      </c>
      <c r="BG316" s="2" t="str">
        <f>HYPERLINK("https://patentscout.innography.com/share/VvgseLaz-mPtDUPH8pnx1w%3D%3D/download", "Download PDF")</f>
        <v>Download PDF</v>
      </c>
      <c r="BH316" s="2" t="s">
        <v>7355</v>
      </c>
      <c r="BI316" s="2"/>
      <c r="BJ316" s="2" t="s">
        <v>2607</v>
      </c>
      <c r="BK316" s="2" t="s">
        <v>2607</v>
      </c>
      <c r="BL316" s="2" t="s">
        <v>2607</v>
      </c>
      <c r="BM316" s="2"/>
      <c r="BN316" s="2"/>
      <c r="BO316" s="2"/>
      <c r="BP316" s="2"/>
      <c r="BQ316" s="2"/>
      <c r="BR316" s="2"/>
      <c r="BS316" s="2"/>
      <c r="BT316" s="2"/>
      <c r="BU316" s="2"/>
      <c r="BV316" s="2" t="s">
        <v>7356</v>
      </c>
      <c r="BW316" s="2"/>
      <c r="BX316" s="2"/>
      <c r="BY316" s="2"/>
      <c r="BZ316" s="2"/>
      <c r="CA316" s="2"/>
      <c r="CB316" s="2"/>
      <c r="CC316" s="2" t="s">
        <v>228</v>
      </c>
      <c r="CD316" s="2" t="str">
        <f>HYPERLINK("https://patentscout.innography.com/share/VvgseLaz-mPtDUPH8pnx1w%3D%3D", "Innography Link")</f>
        <v>Innography Link</v>
      </c>
      <c r="CE316" s="2"/>
      <c r="CF316" s="2"/>
      <c r="CG316" s="2"/>
      <c r="CH316" s="2"/>
      <c r="CI316" s="2"/>
      <c r="CK316" s="2" t="s">
        <v>7357</v>
      </c>
      <c r="CL316" s="2" t="s">
        <v>7358</v>
      </c>
    </row>
    <row r="317" spans="1:108" ht="152" customHeight="1" x14ac:dyDescent="0.45">
      <c r="A317" s="2">
        <v>0</v>
      </c>
      <c r="B317" s="2">
        <v>0</v>
      </c>
      <c r="C317" s="2"/>
      <c r="D317" s="2"/>
      <c r="E317" s="2" t="s">
        <v>7359</v>
      </c>
      <c r="F317" s="2"/>
      <c r="G317" s="2" t="s">
        <v>7359</v>
      </c>
      <c r="H317" s="2" t="s">
        <v>7360</v>
      </c>
      <c r="I317" s="2" t="s">
        <v>7360</v>
      </c>
      <c r="J317" s="2" t="s">
        <v>7361</v>
      </c>
      <c r="K317" s="2" t="s">
        <v>7359</v>
      </c>
      <c r="L317" s="2" t="s">
        <v>7359</v>
      </c>
      <c r="M317" s="2" t="s">
        <v>7362</v>
      </c>
      <c r="N317" s="2" t="s">
        <v>7363</v>
      </c>
      <c r="O317" s="2"/>
      <c r="P317" s="2" t="s">
        <v>173</v>
      </c>
      <c r="Q317" s="2" t="s">
        <v>173</v>
      </c>
      <c r="R317" s="2" t="s">
        <v>173</v>
      </c>
      <c r="S317" s="2" t="s">
        <v>173</v>
      </c>
      <c r="T317" s="2">
        <v>73</v>
      </c>
      <c r="U317" s="2">
        <v>10</v>
      </c>
      <c r="V317" s="2" t="s">
        <v>7364</v>
      </c>
      <c r="W317" s="2"/>
      <c r="X317" s="2"/>
      <c r="Y317" s="2"/>
      <c r="Z317" s="2" t="s">
        <v>7365</v>
      </c>
      <c r="AA317" s="2" t="s">
        <v>7365</v>
      </c>
      <c r="AB317" s="2">
        <v>10</v>
      </c>
      <c r="AC317" s="2" t="s">
        <v>214</v>
      </c>
      <c r="AD317" s="2" t="s">
        <v>7366</v>
      </c>
      <c r="AE317" s="2">
        <v>45</v>
      </c>
      <c r="AF317" s="2" t="s">
        <v>141</v>
      </c>
      <c r="AG317" s="2"/>
      <c r="AH317" s="2"/>
      <c r="AI317" s="2"/>
      <c r="AJ317" s="2"/>
      <c r="AK317" s="2" t="s">
        <v>217</v>
      </c>
      <c r="AL317" s="2" t="s">
        <v>7367</v>
      </c>
      <c r="AM317" s="2" t="s">
        <v>7368</v>
      </c>
      <c r="AN317" s="2" t="s">
        <v>7369</v>
      </c>
      <c r="AO317" s="2" t="s">
        <v>7369</v>
      </c>
      <c r="AP317" s="2">
        <v>370271000</v>
      </c>
      <c r="AQ317" s="2">
        <v>370271000</v>
      </c>
      <c r="AR317" s="2" t="s">
        <v>541</v>
      </c>
      <c r="AS317" s="2">
        <v>43770898</v>
      </c>
      <c r="AT317" s="2" t="s">
        <v>7370</v>
      </c>
      <c r="AU317" s="2"/>
      <c r="AV317" s="2"/>
      <c r="AW317" s="2" t="s">
        <v>219</v>
      </c>
      <c r="AX317" s="2">
        <v>35614594</v>
      </c>
      <c r="AY317" s="2" t="s">
        <v>7371</v>
      </c>
      <c r="AZ317" s="2" t="s">
        <v>7372</v>
      </c>
      <c r="BA317" s="2" t="s">
        <v>7373</v>
      </c>
      <c r="BB317" s="2">
        <v>0</v>
      </c>
      <c r="BC317" s="3" t="str">
        <f>HYPERLINK("https://patentscout.innography.com/share/3ScgVhNeuNYmtN_JYINMZw%3D%3D","KR20110010347")</f>
        <v>KR20110010347</v>
      </c>
      <c r="BD317" s="2" t="s">
        <v>7374</v>
      </c>
      <c r="BE317" s="2" t="s">
        <v>7375</v>
      </c>
      <c r="BF317" s="2" t="s">
        <v>7376</v>
      </c>
      <c r="BG317" s="2" t="str">
        <f>HYPERLINK("https://patentscout.innography.com/share/3ScgVhNeuNYmtN_JYINMZw%3D%3D/download", "Download PDF")</f>
        <v>Download PDF</v>
      </c>
      <c r="BH317" s="2" t="s">
        <v>7377</v>
      </c>
      <c r="BI317" s="2"/>
      <c r="BJ317" s="2" t="s">
        <v>7371</v>
      </c>
      <c r="BK317" s="2" t="s">
        <v>7371</v>
      </c>
      <c r="BL317" s="2" t="s">
        <v>7371</v>
      </c>
      <c r="BM317" s="2"/>
      <c r="BN317" s="2"/>
      <c r="BO317" s="2"/>
      <c r="BP317" s="2"/>
      <c r="BQ317" s="2"/>
      <c r="BR317" s="2"/>
      <c r="BS317" s="2"/>
      <c r="BT317" s="2"/>
      <c r="BU317" s="2"/>
      <c r="BV317" s="2" t="s">
        <v>3377</v>
      </c>
      <c r="BW317" s="2"/>
      <c r="BX317" s="2"/>
      <c r="BY317" s="2"/>
      <c r="BZ317" s="2"/>
      <c r="CA317" s="2"/>
      <c r="CB317" s="2"/>
      <c r="CC317" s="2" t="s">
        <v>228</v>
      </c>
      <c r="CD317" s="2" t="str">
        <f>HYPERLINK("https://patentscout.innography.com/share/3ScgVhNeuNYmtN_JYINMZw%3D%3D", "Innography Link")</f>
        <v>Innography Link</v>
      </c>
      <c r="CE317" s="2"/>
      <c r="CF317" s="2"/>
      <c r="CG317" s="2"/>
      <c r="CH317" s="2"/>
      <c r="CI317" s="2"/>
      <c r="CK317" s="2" t="s">
        <v>7378</v>
      </c>
      <c r="CL317" s="2" t="s">
        <v>7379</v>
      </c>
    </row>
    <row r="318" spans="1:108" ht="152" customHeight="1" x14ac:dyDescent="0.45">
      <c r="A318" s="2">
        <v>0</v>
      </c>
      <c r="B318" s="2">
        <v>0</v>
      </c>
      <c r="C318" s="2"/>
      <c r="D318" s="2"/>
      <c r="E318" s="2" t="s">
        <v>287</v>
      </c>
      <c r="F318" s="2" t="s">
        <v>7380</v>
      </c>
      <c r="G318" s="2" t="s">
        <v>287</v>
      </c>
      <c r="H318" s="2" t="s">
        <v>7381</v>
      </c>
      <c r="I318" s="2" t="s">
        <v>7382</v>
      </c>
      <c r="J318" s="2" t="s">
        <v>7380</v>
      </c>
      <c r="K318" s="2" t="s">
        <v>375</v>
      </c>
      <c r="L318" s="2" t="s">
        <v>375</v>
      </c>
      <c r="M318" s="2" t="s">
        <v>7383</v>
      </c>
      <c r="N318" s="2" t="s">
        <v>7384</v>
      </c>
      <c r="O318" s="2"/>
      <c r="P318" s="2" t="s">
        <v>7385</v>
      </c>
      <c r="Q318" s="2" t="s">
        <v>7386</v>
      </c>
      <c r="R318" s="2" t="s">
        <v>7386</v>
      </c>
      <c r="S318" s="2" t="s">
        <v>7385</v>
      </c>
      <c r="T318" s="2">
        <v>73</v>
      </c>
      <c r="U318" s="2">
        <v>4</v>
      </c>
      <c r="V318" s="2" t="s">
        <v>7387</v>
      </c>
      <c r="W318" s="2"/>
      <c r="X318" s="2"/>
      <c r="Y318" s="2"/>
      <c r="Z318" s="2" t="s">
        <v>7388</v>
      </c>
      <c r="AA318" s="2" t="s">
        <v>7388</v>
      </c>
      <c r="AB318" s="2">
        <v>2</v>
      </c>
      <c r="AC318" s="2" t="s">
        <v>214</v>
      </c>
      <c r="AD318" s="2" t="s">
        <v>7389</v>
      </c>
      <c r="AE318" s="2">
        <v>411</v>
      </c>
      <c r="AF318" s="2" t="s">
        <v>180</v>
      </c>
      <c r="AG318" s="2"/>
      <c r="AH318" s="2"/>
      <c r="AI318" s="2" t="s">
        <v>7390</v>
      </c>
      <c r="AJ318" s="2"/>
      <c r="AK318" s="2" t="s">
        <v>2545</v>
      </c>
      <c r="AL318" s="2" t="s">
        <v>7391</v>
      </c>
      <c r="AM318" s="2" t="s">
        <v>7392</v>
      </c>
      <c r="AN318" s="2" t="s">
        <v>7393</v>
      </c>
      <c r="AO318" s="2" t="s">
        <v>7394</v>
      </c>
      <c r="AP318" s="2">
        <v>370225000</v>
      </c>
      <c r="AQ318" s="2">
        <v>370225000</v>
      </c>
      <c r="AR318" s="2" t="s">
        <v>253</v>
      </c>
      <c r="AS318" s="2">
        <v>40845434</v>
      </c>
      <c r="AT318" s="2" t="s">
        <v>7395</v>
      </c>
      <c r="AU318" s="2"/>
      <c r="AV318" s="2"/>
      <c r="AW318" s="2" t="s">
        <v>7396</v>
      </c>
      <c r="AX318" s="2">
        <v>31691250</v>
      </c>
      <c r="AY318" s="2" t="s">
        <v>7397</v>
      </c>
      <c r="AZ318" s="2" t="s">
        <v>7398</v>
      </c>
      <c r="BA318" s="2" t="s">
        <v>7399</v>
      </c>
      <c r="BB318" s="2">
        <v>0</v>
      </c>
      <c r="BC318" s="3" t="str">
        <f>HYPERLINK("https://patentscout.innography.com/share/v1jv_H1SZKMVgbgXuA7t4g%3D%3D","TW200931909")</f>
        <v>TW200931909</v>
      </c>
      <c r="BD318" s="2" t="s">
        <v>7400</v>
      </c>
      <c r="BE318" s="2"/>
      <c r="BF318" s="2" t="s">
        <v>7401</v>
      </c>
      <c r="BG318" s="2" t="str">
        <f>HYPERLINK("https://patentscout.innography.com/share/v1jv_H1SZKMVgbgXuA7t4g%3D%3D/download", "Download PDF")</f>
        <v>Download PDF</v>
      </c>
      <c r="BH318" s="2" t="s">
        <v>7402</v>
      </c>
      <c r="BI318" s="2"/>
      <c r="BJ318" s="2" t="s">
        <v>7403</v>
      </c>
      <c r="BK318" s="2" t="s">
        <v>7404</v>
      </c>
      <c r="BL318" s="2" t="s">
        <v>7404</v>
      </c>
      <c r="BM318" s="2"/>
      <c r="BN318" s="2"/>
      <c r="BO318" s="2"/>
      <c r="BP318" s="2"/>
      <c r="BQ318" s="2"/>
      <c r="BR318" s="2"/>
      <c r="BS318" s="2"/>
      <c r="BT318" s="2"/>
      <c r="BU318" s="2"/>
      <c r="BV318" s="2"/>
      <c r="BW318" s="2"/>
      <c r="BX318" s="2"/>
      <c r="BY318" s="2"/>
      <c r="BZ318" s="2"/>
      <c r="CA318" s="2"/>
      <c r="CB318" s="2"/>
      <c r="CC318" s="2" t="s">
        <v>7405</v>
      </c>
      <c r="CD318" s="2" t="str">
        <f>HYPERLINK("https://patentscout.innography.com/share/v1jv_H1SZKMVgbgXuA7t4g%3D%3D", "Innography Link")</f>
        <v>Innography Link</v>
      </c>
      <c r="CE318" s="2"/>
      <c r="CF318" s="2"/>
      <c r="CG318" s="2"/>
      <c r="CH318" s="2"/>
      <c r="CI318" s="2"/>
    </row>
    <row r="319" spans="1:108" ht="152" customHeight="1" x14ac:dyDescent="0.45">
      <c r="A319" s="2">
        <v>3</v>
      </c>
      <c r="B319" s="2">
        <v>2</v>
      </c>
      <c r="C319" s="2" t="s">
        <v>7406</v>
      </c>
      <c r="D319" s="2" t="s">
        <v>7407</v>
      </c>
      <c r="E319" s="2" t="s">
        <v>7333</v>
      </c>
      <c r="F319" s="2" t="s">
        <v>7334</v>
      </c>
      <c r="G319" s="2" t="s">
        <v>7334</v>
      </c>
      <c r="H319" s="2" t="s">
        <v>7335</v>
      </c>
      <c r="I319" s="2" t="s">
        <v>7335</v>
      </c>
      <c r="J319" s="2" t="s">
        <v>7408</v>
      </c>
      <c r="K319" s="2" t="s">
        <v>7333</v>
      </c>
      <c r="L319" s="2" t="s">
        <v>7333</v>
      </c>
      <c r="M319" s="2" t="s">
        <v>7336</v>
      </c>
      <c r="N319" s="2" t="s">
        <v>7337</v>
      </c>
      <c r="O319" s="2" t="s">
        <v>7338</v>
      </c>
      <c r="P319" s="2" t="s">
        <v>173</v>
      </c>
      <c r="Q319" s="2" t="s">
        <v>173</v>
      </c>
      <c r="R319" s="2" t="s">
        <v>173</v>
      </c>
      <c r="S319" s="2" t="s">
        <v>173</v>
      </c>
      <c r="T319" s="2">
        <v>73</v>
      </c>
      <c r="U319" s="2">
        <v>13</v>
      </c>
      <c r="V319" s="2" t="s">
        <v>7340</v>
      </c>
      <c r="W319" s="2"/>
      <c r="X319" s="2"/>
      <c r="Y319" s="2"/>
      <c r="Z319" s="2" t="s">
        <v>7409</v>
      </c>
      <c r="AA319" s="2" t="s">
        <v>7409</v>
      </c>
      <c r="AB319" s="2">
        <v>8</v>
      </c>
      <c r="AC319" s="2" t="s">
        <v>235</v>
      </c>
      <c r="AD319" s="2" t="s">
        <v>7342</v>
      </c>
      <c r="AE319" s="2">
        <v>86</v>
      </c>
      <c r="AF319" s="2" t="s">
        <v>141</v>
      </c>
      <c r="AG319" s="2"/>
      <c r="AH319" s="2"/>
      <c r="AI319" s="2" t="s">
        <v>2607</v>
      </c>
      <c r="AJ319" s="2"/>
      <c r="AK319" s="2" t="s">
        <v>217</v>
      </c>
      <c r="AL319" s="2" t="s">
        <v>7344</v>
      </c>
      <c r="AM319" s="2" t="s">
        <v>7345</v>
      </c>
      <c r="AN319" s="2" t="s">
        <v>7410</v>
      </c>
      <c r="AO319" s="2" t="s">
        <v>7411</v>
      </c>
      <c r="AP319" s="2">
        <v>370313000</v>
      </c>
      <c r="AQ319" s="2">
        <v>370313000</v>
      </c>
      <c r="AR319" s="2" t="s">
        <v>541</v>
      </c>
      <c r="AS319" s="2">
        <v>40860724</v>
      </c>
      <c r="AT319" s="2" t="s">
        <v>7348</v>
      </c>
      <c r="AU319" s="2"/>
      <c r="AV319" s="2"/>
      <c r="AW319" s="2" t="s">
        <v>7412</v>
      </c>
      <c r="AX319" s="2">
        <v>31739449</v>
      </c>
      <c r="AY319" s="2" t="s">
        <v>7349</v>
      </c>
      <c r="AZ319" s="2" t="s">
        <v>7350</v>
      </c>
      <c r="BA319" s="2" t="s">
        <v>7413</v>
      </c>
      <c r="BB319" s="2">
        <v>0</v>
      </c>
      <c r="BC319" s="3" t="str">
        <f>HYPERLINK("https://patentscout.innography.com/share/AsjMjxD_eK6SNdaOaYq7cw%3D%3D","KR100905407")</f>
        <v>KR100905407</v>
      </c>
      <c r="BD319" s="2" t="s">
        <v>7414</v>
      </c>
      <c r="BE319" s="2" t="s">
        <v>7353</v>
      </c>
      <c r="BF319" s="2" t="s">
        <v>7415</v>
      </c>
      <c r="BG319" s="2" t="str">
        <f>HYPERLINK("https://patentscout.innography.com/share/AsjMjxD_eK6SNdaOaYq7cw%3D%3D/download", "Download PDF")</f>
        <v>Download PDF</v>
      </c>
      <c r="BH319" s="2" t="s">
        <v>7416</v>
      </c>
      <c r="BI319" s="2"/>
      <c r="BJ319" s="2" t="s">
        <v>2607</v>
      </c>
      <c r="BK319" s="2" t="s">
        <v>2607</v>
      </c>
      <c r="BL319" s="2" t="s">
        <v>2607</v>
      </c>
      <c r="BM319" s="2"/>
      <c r="BN319" s="2"/>
      <c r="BO319" s="2"/>
      <c r="BP319" s="2"/>
      <c r="BQ319" s="2"/>
      <c r="BR319" s="2"/>
      <c r="BS319" s="2"/>
      <c r="BT319" s="2"/>
      <c r="BU319" s="2"/>
      <c r="BV319" s="2" t="s">
        <v>7356</v>
      </c>
      <c r="BW319" s="2"/>
      <c r="BX319" s="2"/>
      <c r="BY319" s="2"/>
      <c r="BZ319" s="2"/>
      <c r="CA319" s="2"/>
      <c r="CB319" s="2"/>
      <c r="CC319" s="2" t="s">
        <v>243</v>
      </c>
      <c r="CD319" s="2" t="str">
        <f>HYPERLINK("https://patentscout.innography.com/share/AsjMjxD_eK6SNdaOaYq7cw%3D%3D", "Innography Link")</f>
        <v>Innography Link</v>
      </c>
      <c r="CE319" s="2"/>
      <c r="CF319" s="2"/>
      <c r="CG319" s="2"/>
      <c r="CH319" s="2"/>
      <c r="CI319" s="2"/>
      <c r="CK319" s="2" t="s">
        <v>7357</v>
      </c>
      <c r="CL319" s="2" t="s">
        <v>7358</v>
      </c>
    </row>
    <row r="320" spans="1:108" ht="152" customHeight="1" x14ac:dyDescent="0.45">
      <c r="A320" s="2">
        <v>2</v>
      </c>
      <c r="B320" s="2">
        <v>0</v>
      </c>
      <c r="C320" s="2"/>
      <c r="D320" s="2" t="s">
        <v>7417</v>
      </c>
      <c r="E320" s="2" t="s">
        <v>1026</v>
      </c>
      <c r="F320" s="2" t="s">
        <v>2416</v>
      </c>
      <c r="G320" s="2" t="s">
        <v>1026</v>
      </c>
      <c r="H320" s="2" t="s">
        <v>7418</v>
      </c>
      <c r="I320" s="2" t="s">
        <v>2327</v>
      </c>
      <c r="J320" s="2" t="s">
        <v>2416</v>
      </c>
      <c r="K320" s="2" t="s">
        <v>1026</v>
      </c>
      <c r="L320" s="2" t="s">
        <v>1026</v>
      </c>
      <c r="M320" s="2" t="s">
        <v>7419</v>
      </c>
      <c r="N320" s="2" t="s">
        <v>7420</v>
      </c>
      <c r="O320" s="2" t="s">
        <v>7421</v>
      </c>
      <c r="P320" s="2" t="s">
        <v>6973</v>
      </c>
      <c r="Q320" s="2" t="s">
        <v>6973</v>
      </c>
      <c r="R320" s="2" t="s">
        <v>6974</v>
      </c>
      <c r="S320" s="2" t="s">
        <v>6973</v>
      </c>
      <c r="T320" s="2">
        <v>73</v>
      </c>
      <c r="U320" s="2">
        <v>66</v>
      </c>
      <c r="V320" s="2" t="s">
        <v>7422</v>
      </c>
      <c r="W320" s="2" t="s">
        <v>7423</v>
      </c>
      <c r="X320" s="2">
        <v>3715</v>
      </c>
      <c r="Y320" s="2" t="s">
        <v>3955</v>
      </c>
      <c r="Z320" s="2" t="s">
        <v>7424</v>
      </c>
      <c r="AA320" s="2" t="s">
        <v>7425</v>
      </c>
      <c r="AB320" s="2">
        <v>30</v>
      </c>
      <c r="AC320" s="2" t="s">
        <v>139</v>
      </c>
      <c r="AD320" s="2" t="s">
        <v>7426</v>
      </c>
      <c r="AE320" s="2">
        <v>81</v>
      </c>
      <c r="AF320" s="2" t="s">
        <v>180</v>
      </c>
      <c r="AG320" s="2"/>
      <c r="AH320" s="2"/>
      <c r="AI320" s="2" t="s">
        <v>7427</v>
      </c>
      <c r="AJ320" s="2"/>
      <c r="AK320" s="2" t="s">
        <v>142</v>
      </c>
      <c r="AL320" s="2" t="s">
        <v>3898</v>
      </c>
      <c r="AM320" s="2" t="s">
        <v>7428</v>
      </c>
      <c r="AN320" s="2" t="s">
        <v>6981</v>
      </c>
      <c r="AO320" s="2" t="s">
        <v>7429</v>
      </c>
      <c r="AP320" s="2">
        <v>701481000</v>
      </c>
      <c r="AQ320" s="2">
        <v>701481000</v>
      </c>
      <c r="AR320" s="2" t="s">
        <v>514</v>
      </c>
      <c r="AS320" s="2">
        <v>78770613</v>
      </c>
      <c r="AT320" s="2" t="s">
        <v>7430</v>
      </c>
      <c r="AU320" s="2"/>
      <c r="AV320" s="2"/>
      <c r="AW320" s="2" t="s">
        <v>148</v>
      </c>
      <c r="AX320" s="2">
        <v>90873968</v>
      </c>
      <c r="AY320" s="2" t="s">
        <v>7431</v>
      </c>
      <c r="AZ320" s="2" t="s">
        <v>7432</v>
      </c>
      <c r="BA320" s="2" t="s">
        <v>7433</v>
      </c>
      <c r="BB320" s="2">
        <v>0</v>
      </c>
      <c r="BC320" s="3" t="str">
        <f>HYPERLINK("https://patentscout.innography.com/share/TOQT2CdOVLfyLceI334TpA%3D%3D","US20220147876")</f>
        <v>US20220147876</v>
      </c>
      <c r="BD320" s="2" t="s">
        <v>7434</v>
      </c>
      <c r="BE320" s="2" t="s">
        <v>7435</v>
      </c>
      <c r="BF320" s="2" t="s">
        <v>7436</v>
      </c>
      <c r="BG320" s="2" t="str">
        <f>HYPERLINK("https://patentscout.innography.com/share/TOQT2CdOVLfyLceI334TpA%3D%3D/download", "Download PDF")</f>
        <v>Download PDF</v>
      </c>
      <c r="BH320" s="2" t="s">
        <v>7437</v>
      </c>
      <c r="BI320" s="2"/>
      <c r="BJ320" s="2" t="s">
        <v>7438</v>
      </c>
      <c r="BK320" s="2" t="s">
        <v>7438</v>
      </c>
      <c r="BL320" s="2" t="s">
        <v>7438</v>
      </c>
      <c r="BM320" s="2"/>
      <c r="BN320" s="2"/>
      <c r="BO320" s="2"/>
      <c r="BP320" s="2"/>
      <c r="BQ320" s="2"/>
      <c r="BR320" s="2"/>
      <c r="BS320" s="2"/>
      <c r="BT320" s="2"/>
      <c r="BU320" s="2"/>
      <c r="BV320" s="2"/>
      <c r="BW320" s="2"/>
      <c r="BX320" s="2"/>
      <c r="BY320" s="2"/>
      <c r="BZ320" s="2"/>
      <c r="CA320" s="2"/>
      <c r="CB320" s="2"/>
      <c r="CC320" s="2" t="s">
        <v>158</v>
      </c>
      <c r="CD320" s="2" t="str">
        <f>HYPERLINK("https://patentscout.innography.com/share/TOQT2CdOVLfyLceI334TpA%3D%3D", "Innography Link")</f>
        <v>Innography Link</v>
      </c>
      <c r="CE320" s="2"/>
      <c r="CF320" s="2"/>
      <c r="CG320" s="2"/>
      <c r="CH320" s="2"/>
      <c r="CI320" s="2"/>
      <c r="CK320" s="2" t="s">
        <v>7439</v>
      </c>
    </row>
    <row r="321" spans="1:95" ht="152" customHeight="1" x14ac:dyDescent="0.45">
      <c r="A321" s="2">
        <v>0</v>
      </c>
      <c r="B321" s="2">
        <v>0</v>
      </c>
      <c r="C321" s="2"/>
      <c r="D321" s="2"/>
      <c r="E321" s="2" t="s">
        <v>1362</v>
      </c>
      <c r="F321" s="2"/>
      <c r="G321" s="2" t="s">
        <v>1362</v>
      </c>
      <c r="H321" s="2" t="s">
        <v>2671</v>
      </c>
      <c r="I321" s="2" t="s">
        <v>2671</v>
      </c>
      <c r="J321" s="2" t="s">
        <v>2672</v>
      </c>
      <c r="K321" s="2" t="s">
        <v>1362</v>
      </c>
      <c r="L321" s="2" t="s">
        <v>1362</v>
      </c>
      <c r="M321" s="2" t="s">
        <v>7440</v>
      </c>
      <c r="N321" s="2" t="s">
        <v>7441</v>
      </c>
      <c r="O321" s="2"/>
      <c r="P321" s="2" t="s">
        <v>7442</v>
      </c>
      <c r="Q321" s="2" t="s">
        <v>7442</v>
      </c>
      <c r="R321" s="2" t="s">
        <v>7443</v>
      </c>
      <c r="S321" s="2" t="s">
        <v>7442</v>
      </c>
      <c r="T321" s="2">
        <v>73</v>
      </c>
      <c r="U321" s="2">
        <v>6</v>
      </c>
      <c r="V321" s="2" t="s">
        <v>7444</v>
      </c>
      <c r="W321" s="2"/>
      <c r="X321" s="2"/>
      <c r="Y321" s="2"/>
      <c r="Z321" s="2" t="s">
        <v>7445</v>
      </c>
      <c r="AA321" s="2" t="s">
        <v>7446</v>
      </c>
      <c r="AB321" s="2">
        <v>8</v>
      </c>
      <c r="AC321" s="2" t="s">
        <v>214</v>
      </c>
      <c r="AD321" s="2" t="s">
        <v>7447</v>
      </c>
      <c r="AE321" s="2">
        <v>335</v>
      </c>
      <c r="AF321" s="2" t="s">
        <v>141</v>
      </c>
      <c r="AG321" s="2"/>
      <c r="AH321" s="2"/>
      <c r="AI321" s="2"/>
      <c r="AJ321" s="2"/>
      <c r="AK321" s="2" t="s">
        <v>1816</v>
      </c>
      <c r="AL321" s="2" t="s">
        <v>2487</v>
      </c>
      <c r="AM321" s="2" t="s">
        <v>2487</v>
      </c>
      <c r="AN321" s="2" t="s">
        <v>539</v>
      </c>
      <c r="AO321" s="2" t="s">
        <v>7448</v>
      </c>
      <c r="AP321" s="2">
        <v>705348000</v>
      </c>
      <c r="AQ321" s="2">
        <v>705348000</v>
      </c>
      <c r="AR321" s="2" t="s">
        <v>253</v>
      </c>
      <c r="AS321" s="2">
        <v>83676698</v>
      </c>
      <c r="AT321" s="2" t="s">
        <v>7449</v>
      </c>
      <c r="AU321" s="2"/>
      <c r="AV321" s="2"/>
      <c r="AW321" s="2" t="s">
        <v>1821</v>
      </c>
      <c r="AX321" s="2">
        <v>92107117</v>
      </c>
      <c r="AY321" s="2" t="s">
        <v>7450</v>
      </c>
      <c r="AZ321" s="2" t="s">
        <v>7451</v>
      </c>
      <c r="BA321" s="2" t="s">
        <v>2687</v>
      </c>
      <c r="BB321" s="2">
        <v>0</v>
      </c>
      <c r="BC321" s="3" t="str">
        <f>HYPERLINK("https://patentscout.innography.com/share/DfNNdNh36dKo4qT52iVK2w%3D%3D","CN115239435")</f>
        <v>CN115239435</v>
      </c>
      <c r="BD321" s="2" t="s">
        <v>7452</v>
      </c>
      <c r="BE321" s="2" t="s">
        <v>7453</v>
      </c>
      <c r="BF321" s="2" t="s">
        <v>7454</v>
      </c>
      <c r="BG321" s="2" t="str">
        <f>HYPERLINK("https://patentscout.innography.com/share/DfNNdNh36dKo4qT52iVK2w%3D%3D/download", "Download PDF")</f>
        <v>Download PDF</v>
      </c>
      <c r="BH321" s="2" t="s">
        <v>7455</v>
      </c>
      <c r="BI321" s="2"/>
      <c r="BJ321" s="2" t="s">
        <v>7450</v>
      </c>
      <c r="BK321" s="2" t="s">
        <v>7450</v>
      </c>
      <c r="BL321" s="2" t="s">
        <v>7450</v>
      </c>
      <c r="BM321" s="2"/>
      <c r="BN321" s="2"/>
      <c r="BO321" s="2"/>
      <c r="BP321" s="2"/>
      <c r="BQ321" s="2"/>
      <c r="BR321" s="2"/>
      <c r="BS321" s="2"/>
      <c r="BT321" s="2"/>
      <c r="BU321" s="2"/>
      <c r="BV321" s="2"/>
      <c r="BW321" s="2"/>
      <c r="BX321" s="2"/>
      <c r="BY321" s="2"/>
      <c r="BZ321" s="2"/>
      <c r="CA321" s="2"/>
      <c r="CB321" s="2"/>
      <c r="CC321" s="2" t="s">
        <v>1829</v>
      </c>
      <c r="CD321" s="2" t="str">
        <f>HYPERLINK("https://patentscout.innography.com/share/DfNNdNh36dKo4qT52iVK2w%3D%3D", "Innography Link")</f>
        <v>Innography Link</v>
      </c>
      <c r="CE321" s="2"/>
      <c r="CF321" s="2"/>
      <c r="CG321" s="2"/>
      <c r="CH321" s="2"/>
      <c r="CI321" s="2"/>
      <c r="CK321" s="2" t="s">
        <v>7456</v>
      </c>
      <c r="CL321" s="2" t="s">
        <v>7457</v>
      </c>
    </row>
    <row r="322" spans="1:95" ht="152" customHeight="1" x14ac:dyDescent="0.45">
      <c r="A322" s="2">
        <v>0</v>
      </c>
      <c r="B322" s="2">
        <v>110</v>
      </c>
      <c r="C322" s="2" t="s">
        <v>7458</v>
      </c>
      <c r="D322" s="2"/>
      <c r="E322" s="2"/>
      <c r="F322" s="2" t="s">
        <v>1246</v>
      </c>
      <c r="G322" s="2" t="s">
        <v>1246</v>
      </c>
      <c r="H322" s="2" t="s">
        <v>7459</v>
      </c>
      <c r="I322" s="2" t="s">
        <v>7459</v>
      </c>
      <c r="J322" s="2" t="s">
        <v>7460</v>
      </c>
      <c r="K322" s="2" t="s">
        <v>1246</v>
      </c>
      <c r="L322" s="2" t="s">
        <v>1246</v>
      </c>
      <c r="M322" s="2" t="s">
        <v>7461</v>
      </c>
      <c r="N322" s="2" t="s">
        <v>7462</v>
      </c>
      <c r="O322" s="2"/>
      <c r="P322" s="2" t="s">
        <v>7463</v>
      </c>
      <c r="Q322" s="2" t="s">
        <v>7463</v>
      </c>
      <c r="R322" s="2" t="s">
        <v>7463</v>
      </c>
      <c r="S322" s="2" t="s">
        <v>7463</v>
      </c>
      <c r="T322" s="2">
        <v>73</v>
      </c>
      <c r="U322" s="2">
        <v>51</v>
      </c>
      <c r="V322" s="2" t="s">
        <v>7464</v>
      </c>
      <c r="W322" s="2" t="s">
        <v>7465</v>
      </c>
      <c r="X322" s="2">
        <v>3791</v>
      </c>
      <c r="Y322" s="2"/>
      <c r="Z322" s="2" t="s">
        <v>7466</v>
      </c>
      <c r="AA322" s="2" t="s">
        <v>7467</v>
      </c>
      <c r="AB322" s="2">
        <v>20</v>
      </c>
      <c r="AC322" s="2" t="s">
        <v>235</v>
      </c>
      <c r="AD322" s="2" t="s">
        <v>7468</v>
      </c>
      <c r="AE322" s="2">
        <v>81</v>
      </c>
      <c r="AF322" s="2" t="s">
        <v>141</v>
      </c>
      <c r="AG322" s="2"/>
      <c r="AH322" s="2"/>
      <c r="AI322" s="2"/>
      <c r="AJ322" s="2"/>
      <c r="AK322" s="2" t="s">
        <v>142</v>
      </c>
      <c r="AL322" s="2" t="s">
        <v>7469</v>
      </c>
      <c r="AM322" s="2" t="s">
        <v>7470</v>
      </c>
      <c r="AN322" s="2" t="s">
        <v>7471</v>
      </c>
      <c r="AO322" s="2" t="s">
        <v>7472</v>
      </c>
      <c r="AP322" s="2" t="s">
        <v>7473</v>
      </c>
      <c r="AQ322" s="2" t="s">
        <v>7473</v>
      </c>
      <c r="AR322" s="2" t="s">
        <v>185</v>
      </c>
      <c r="AS322" s="2">
        <v>84230726</v>
      </c>
      <c r="AT322" s="2" t="s">
        <v>7474</v>
      </c>
      <c r="AU322" s="2"/>
      <c r="AV322" s="2"/>
      <c r="AW322" s="2" t="s">
        <v>7475</v>
      </c>
      <c r="AX322" s="2">
        <v>92711716</v>
      </c>
      <c r="AY322" s="2" t="s">
        <v>7476</v>
      </c>
      <c r="AZ322" s="2" t="s">
        <v>7477</v>
      </c>
      <c r="BA322" s="2" t="s">
        <v>7478</v>
      </c>
      <c r="BB322" s="2">
        <v>0</v>
      </c>
      <c r="BC322" s="3" t="str">
        <f>HYPERLINK("https://patentscout.innography.com/share/cBPcor8qBTHlJpkiTGYDlg%3D%3D","US11510602")</f>
        <v>US11510602</v>
      </c>
      <c r="BD322" s="2" t="s">
        <v>7479</v>
      </c>
      <c r="BE322" s="2" t="s">
        <v>7480</v>
      </c>
      <c r="BF322" s="2" t="s">
        <v>7481</v>
      </c>
      <c r="BG322" s="2" t="str">
        <f>HYPERLINK("https://patentscout.innography.com/share/cBPcor8qBTHlJpkiTGYDlg%3D%3D/download", "Download PDF")</f>
        <v>Download PDF</v>
      </c>
      <c r="BH322" s="2" t="s">
        <v>7482</v>
      </c>
      <c r="BI322" s="2"/>
      <c r="BJ322" s="2" t="s">
        <v>7476</v>
      </c>
      <c r="BK322" s="2" t="s">
        <v>7476</v>
      </c>
      <c r="BL322" s="2" t="s">
        <v>7476</v>
      </c>
      <c r="BM322" s="2"/>
      <c r="BN322" s="2"/>
      <c r="BO322" s="2"/>
      <c r="BP322" s="2"/>
      <c r="BQ322" s="2"/>
      <c r="BR322" s="2"/>
      <c r="BS322" s="2"/>
      <c r="BT322" s="2"/>
      <c r="BU322" s="2"/>
      <c r="BV322" s="2"/>
      <c r="BW322" s="2"/>
      <c r="BX322" s="2"/>
      <c r="BY322" s="2"/>
      <c r="BZ322" s="2"/>
      <c r="CA322" s="2"/>
      <c r="CB322" s="2"/>
      <c r="CC322" s="2" t="s">
        <v>259</v>
      </c>
      <c r="CD322" s="2" t="str">
        <f>HYPERLINK("https://patentscout.innography.com/share/cBPcor8qBTHlJpkiTGYDlg%3D%3D", "Innography Link")</f>
        <v>Innography Link</v>
      </c>
      <c r="CE322" s="2"/>
      <c r="CF322" s="2"/>
      <c r="CG322" s="2"/>
      <c r="CH322" s="2"/>
      <c r="CI322" s="2"/>
      <c r="CK322" s="2" t="s">
        <v>7483</v>
      </c>
    </row>
    <row r="323" spans="1:95" ht="152" customHeight="1" x14ac:dyDescent="0.45">
      <c r="A323" s="2">
        <v>0</v>
      </c>
      <c r="B323" s="2">
        <v>0</v>
      </c>
      <c r="C323" s="2"/>
      <c r="D323" s="2"/>
      <c r="E323" s="2" t="s">
        <v>1915</v>
      </c>
      <c r="F323" s="2"/>
      <c r="G323" s="2" t="s">
        <v>1915</v>
      </c>
      <c r="H323" s="2" t="s">
        <v>7484</v>
      </c>
      <c r="I323" s="2" t="s">
        <v>6176</v>
      </c>
      <c r="J323" s="2" t="s">
        <v>7485</v>
      </c>
      <c r="K323" s="2" t="s">
        <v>1915</v>
      </c>
      <c r="L323" s="2" t="s">
        <v>7486</v>
      </c>
      <c r="M323" s="2" t="s">
        <v>7487</v>
      </c>
      <c r="N323" s="2" t="s">
        <v>7488</v>
      </c>
      <c r="O323" s="2"/>
      <c r="P323" s="2" t="s">
        <v>7489</v>
      </c>
      <c r="Q323" s="2" t="s">
        <v>7489</v>
      </c>
      <c r="R323" s="2" t="s">
        <v>7490</v>
      </c>
      <c r="S323" s="2" t="s">
        <v>7489</v>
      </c>
      <c r="T323" s="2">
        <v>73</v>
      </c>
      <c r="U323" s="2">
        <v>16</v>
      </c>
      <c r="V323" s="2" t="s">
        <v>7491</v>
      </c>
      <c r="W323" s="2" t="s">
        <v>533</v>
      </c>
      <c r="X323" s="2"/>
      <c r="Y323" s="2"/>
      <c r="Z323" s="2" t="s">
        <v>7492</v>
      </c>
      <c r="AA323" s="2" t="s">
        <v>7493</v>
      </c>
      <c r="AB323" s="2">
        <v>21</v>
      </c>
      <c r="AC323" s="2" t="s">
        <v>139</v>
      </c>
      <c r="AD323" s="2" t="s">
        <v>7494</v>
      </c>
      <c r="AE323" s="2">
        <v>79</v>
      </c>
      <c r="AF323" s="2" t="s">
        <v>141</v>
      </c>
      <c r="AG323" s="2"/>
      <c r="AH323" s="2"/>
      <c r="AI323" s="2"/>
      <c r="AJ323" s="2"/>
      <c r="AK323" s="2" t="s">
        <v>142</v>
      </c>
      <c r="AL323" s="2" t="s">
        <v>7495</v>
      </c>
      <c r="AM323" s="2" t="s">
        <v>7496</v>
      </c>
      <c r="AN323" s="2" t="s">
        <v>7497</v>
      </c>
      <c r="AO323" s="2" t="s">
        <v>7498</v>
      </c>
      <c r="AP323" s="2">
        <v>705348000</v>
      </c>
      <c r="AQ323" s="2">
        <v>705348000</v>
      </c>
      <c r="AR323" s="2" t="s">
        <v>541</v>
      </c>
      <c r="AS323" s="2">
        <v>84286143</v>
      </c>
      <c r="AT323" s="2" t="s">
        <v>7499</v>
      </c>
      <c r="AU323" s="2"/>
      <c r="AV323" s="2"/>
      <c r="AW323" s="2" t="s">
        <v>148</v>
      </c>
      <c r="AX323" s="2">
        <v>80566623</v>
      </c>
      <c r="AY323" s="2" t="s">
        <v>7500</v>
      </c>
      <c r="AZ323" s="2" t="s">
        <v>7501</v>
      </c>
      <c r="BA323" s="2" t="s">
        <v>7502</v>
      </c>
      <c r="BB323" s="2">
        <v>0</v>
      </c>
      <c r="BC323" s="3" t="str">
        <f>HYPERLINK("https://patentscout.innography.com/share/-g6Md6RTMgRg2q05pCDhHQ%3D%3D","US20220391884")</f>
        <v>US20220391884</v>
      </c>
      <c r="BD323" s="2" t="s">
        <v>7503</v>
      </c>
      <c r="BE323" s="2" t="s">
        <v>7504</v>
      </c>
      <c r="BF323" s="2" t="s">
        <v>7505</v>
      </c>
      <c r="BG323" s="2" t="str">
        <f>HYPERLINK("https://patentscout.innography.com/share/-g6Md6RTMgRg2q05pCDhHQ%3D%3D/download", "Download PDF")</f>
        <v>Download PDF</v>
      </c>
      <c r="BH323" s="2" t="s">
        <v>7506</v>
      </c>
      <c r="BI323" s="2"/>
      <c r="BJ323" s="2" t="s">
        <v>7507</v>
      </c>
      <c r="BK323" s="2" t="s">
        <v>7507</v>
      </c>
      <c r="BL323" s="2" t="s">
        <v>7508</v>
      </c>
      <c r="BM323" s="2"/>
      <c r="BN323" s="2"/>
      <c r="BO323" s="2"/>
      <c r="BP323" s="2"/>
      <c r="BQ323" s="2"/>
      <c r="BR323" s="2"/>
      <c r="BS323" s="2"/>
      <c r="BT323" s="2"/>
      <c r="BU323" s="2"/>
      <c r="BV323" s="2"/>
      <c r="BW323" s="2"/>
      <c r="BX323" s="2"/>
      <c r="BY323" s="2"/>
      <c r="BZ323" s="2"/>
      <c r="CA323" s="2"/>
      <c r="CB323" s="2"/>
      <c r="CC323" s="2" t="s">
        <v>158</v>
      </c>
      <c r="CD323" s="2" t="str">
        <f>HYPERLINK("https://patentscout.innography.com/share/-g6Md6RTMgRg2q05pCDhHQ%3D%3D", "Innography Link")</f>
        <v>Innography Link</v>
      </c>
      <c r="CE323" s="2"/>
      <c r="CF323" s="2"/>
      <c r="CG323" s="2"/>
      <c r="CH323" s="2"/>
      <c r="CI323" s="2"/>
      <c r="CK323" s="2" t="s">
        <v>7509</v>
      </c>
      <c r="CL323" s="2" t="s">
        <v>7510</v>
      </c>
    </row>
    <row r="324" spans="1:95" ht="30" customHeight="1" x14ac:dyDescent="0.45">
      <c r="A324" s="2">
        <v>0</v>
      </c>
      <c r="B324" s="2">
        <v>0</v>
      </c>
      <c r="C324" s="2"/>
      <c r="D324" s="2"/>
      <c r="E324" s="2" t="s">
        <v>6602</v>
      </c>
      <c r="F324" s="2"/>
      <c r="G324" s="2" t="s">
        <v>6602</v>
      </c>
      <c r="H324" s="2" t="s">
        <v>2697</v>
      </c>
      <c r="I324" s="2" t="s">
        <v>2697</v>
      </c>
      <c r="J324" s="2" t="s">
        <v>7511</v>
      </c>
      <c r="K324" s="2" t="s">
        <v>6602</v>
      </c>
      <c r="L324" s="2" t="s">
        <v>6602</v>
      </c>
      <c r="M324" s="2" t="s">
        <v>7512</v>
      </c>
      <c r="N324" s="2" t="s">
        <v>7513</v>
      </c>
      <c r="O324" s="2"/>
      <c r="P324" s="2" t="s">
        <v>7514</v>
      </c>
      <c r="Q324" s="2"/>
      <c r="R324" s="2"/>
      <c r="S324" s="2" t="s">
        <v>7514</v>
      </c>
      <c r="T324" s="2">
        <v>73</v>
      </c>
      <c r="U324" s="2">
        <v>4</v>
      </c>
      <c r="V324" s="2" t="s">
        <v>7515</v>
      </c>
      <c r="W324" s="2"/>
      <c r="X324" s="2"/>
      <c r="Y324" s="2"/>
      <c r="Z324" s="2" t="s">
        <v>7516</v>
      </c>
      <c r="AA324" s="2" t="s">
        <v>7517</v>
      </c>
      <c r="AB324" s="2">
        <v>2</v>
      </c>
      <c r="AC324" s="2" t="s">
        <v>615</v>
      </c>
      <c r="AD324" s="2" t="s">
        <v>7518</v>
      </c>
      <c r="AE324" s="2">
        <v>511</v>
      </c>
      <c r="AF324" s="2" t="s">
        <v>141</v>
      </c>
      <c r="AG324" s="2"/>
      <c r="AH324" s="2"/>
      <c r="AI324" s="2"/>
      <c r="AJ324" s="2"/>
      <c r="AK324" s="2" t="s">
        <v>7519</v>
      </c>
      <c r="AL324" s="2" t="s">
        <v>7520</v>
      </c>
      <c r="AM324" s="2" t="s">
        <v>7520</v>
      </c>
      <c r="AN324" s="2" t="s">
        <v>7521</v>
      </c>
      <c r="AO324" s="2" t="s">
        <v>7522</v>
      </c>
      <c r="AP324" s="2">
        <v>356061000</v>
      </c>
      <c r="AQ324" s="2">
        <v>356061000</v>
      </c>
      <c r="AR324" s="2" t="s">
        <v>253</v>
      </c>
      <c r="AS324" s="2">
        <v>84389510</v>
      </c>
      <c r="AT324" s="2" t="s">
        <v>7523</v>
      </c>
      <c r="AU324" s="2"/>
      <c r="AV324" s="2"/>
      <c r="AW324" s="2" t="s">
        <v>7524</v>
      </c>
      <c r="AX324" s="2">
        <v>93024284</v>
      </c>
      <c r="AY324" s="2" t="s">
        <v>7525</v>
      </c>
      <c r="AZ324" s="2" t="s">
        <v>7526</v>
      </c>
      <c r="BA324" s="2" t="s">
        <v>7527</v>
      </c>
      <c r="BB324" s="2">
        <v>0</v>
      </c>
      <c r="BC324" s="3" t="str">
        <f>HYPERLINK("https://patentscout.innography.com/share/CDwV3ItG3j5qtCMyioAcIg%3D%3D","BR102022017385")</f>
        <v>BR102022017385</v>
      </c>
      <c r="BD324" s="2" t="s">
        <v>7528</v>
      </c>
      <c r="BE324" s="2" t="s">
        <v>7529</v>
      </c>
      <c r="BF324" s="2" t="s">
        <v>7530</v>
      </c>
      <c r="BG324" s="2" t="str">
        <f>HYPERLINK("https://patentscout.innography.com/share/CDwV3ItG3j5qtCMyioAcIg%3D%3D/download", "Download PDF")</f>
        <v>Download PDF</v>
      </c>
      <c r="BH324" s="2" t="s">
        <v>7531</v>
      </c>
      <c r="BI324" s="2"/>
      <c r="BJ324" s="2" t="s">
        <v>7532</v>
      </c>
      <c r="BK324" s="2" t="s">
        <v>7532</v>
      </c>
      <c r="BL324" s="2" t="s">
        <v>7532</v>
      </c>
      <c r="BM324" s="2"/>
      <c r="BN324" s="2"/>
      <c r="BO324" s="2"/>
      <c r="BP324" s="2"/>
      <c r="BQ324" s="2"/>
      <c r="BR324" s="2"/>
      <c r="BS324" s="2"/>
      <c r="BT324" s="2"/>
      <c r="BU324" s="2"/>
      <c r="BV324" s="2"/>
      <c r="BW324" s="2"/>
      <c r="BX324" s="2"/>
      <c r="BY324" s="2"/>
      <c r="BZ324" s="2"/>
      <c r="CA324" s="2"/>
      <c r="CB324" s="2"/>
      <c r="CC324" s="2" t="s">
        <v>7533</v>
      </c>
      <c r="CD324" s="2" t="str">
        <f>HYPERLINK("https://patentscout.innography.com/share/CDwV3ItG3j5qtCMyioAcIg%3D%3D", "Innography Link")</f>
        <v>Innography Link</v>
      </c>
      <c r="CE324" s="2"/>
      <c r="CF324" s="2"/>
      <c r="CG324" s="2"/>
      <c r="CH324" s="2"/>
      <c r="CI324" s="2"/>
      <c r="CK324" s="2" t="s">
        <v>7534</v>
      </c>
    </row>
    <row r="325" spans="1:95" ht="152" customHeight="1" x14ac:dyDescent="0.45">
      <c r="A325" s="2">
        <v>0</v>
      </c>
      <c r="B325" s="2">
        <v>0</v>
      </c>
      <c r="C325" s="2"/>
      <c r="D325" s="2"/>
      <c r="E325" s="2" t="s">
        <v>7535</v>
      </c>
      <c r="F325" s="2"/>
      <c r="G325" s="2" t="s">
        <v>7535</v>
      </c>
      <c r="H325" s="2" t="s">
        <v>1866</v>
      </c>
      <c r="I325" s="2" t="s">
        <v>1866</v>
      </c>
      <c r="J325" s="2" t="s">
        <v>7536</v>
      </c>
      <c r="K325" s="2" t="s">
        <v>7535</v>
      </c>
      <c r="L325" s="2" t="s">
        <v>7535</v>
      </c>
      <c r="M325" s="2" t="s">
        <v>7537</v>
      </c>
      <c r="N325" s="2" t="s">
        <v>7538</v>
      </c>
      <c r="O325" s="2"/>
      <c r="P325" s="2"/>
      <c r="Q325" s="2"/>
      <c r="R325" s="2"/>
      <c r="S325" s="2"/>
      <c r="T325" s="2">
        <v>73</v>
      </c>
      <c r="U325" s="2">
        <v>7</v>
      </c>
      <c r="V325" s="2" t="s">
        <v>7539</v>
      </c>
      <c r="W325" s="2"/>
      <c r="X325" s="2"/>
      <c r="Y325" s="2"/>
      <c r="Z325" s="2" t="s">
        <v>7540</v>
      </c>
      <c r="AA325" s="2" t="s">
        <v>7541</v>
      </c>
      <c r="AB325" s="2">
        <v>10</v>
      </c>
      <c r="AC325" s="2" t="s">
        <v>214</v>
      </c>
      <c r="AD325" s="2"/>
      <c r="AE325" s="2">
        <v>238</v>
      </c>
      <c r="AF325" s="2" t="s">
        <v>141</v>
      </c>
      <c r="AG325" s="2"/>
      <c r="AH325" s="2"/>
      <c r="AI325" s="2"/>
      <c r="AJ325" s="2"/>
      <c r="AK325" s="2" t="s">
        <v>1816</v>
      </c>
      <c r="AL325" s="2" t="s">
        <v>1034</v>
      </c>
      <c r="AM325" s="2" t="s">
        <v>1034</v>
      </c>
      <c r="AN325" s="2" t="s">
        <v>1035</v>
      </c>
      <c r="AO325" s="2" t="s">
        <v>7542</v>
      </c>
      <c r="AP325" s="2">
        <v>715701000</v>
      </c>
      <c r="AQ325" s="2">
        <v>715701000</v>
      </c>
      <c r="AR325" s="2" t="s">
        <v>253</v>
      </c>
      <c r="AS325" s="2">
        <v>84466094</v>
      </c>
      <c r="AT325" s="2" t="s">
        <v>7543</v>
      </c>
      <c r="AU325" s="2"/>
      <c r="AV325" s="2"/>
      <c r="AW325" s="2" t="s">
        <v>1821</v>
      </c>
      <c r="AX325" s="2">
        <v>93133715</v>
      </c>
      <c r="AY325" s="2" t="s">
        <v>7544</v>
      </c>
      <c r="AZ325" s="2" t="s">
        <v>7545</v>
      </c>
      <c r="BA325" s="2" t="s">
        <v>7546</v>
      </c>
      <c r="BB325" s="2">
        <v>0</v>
      </c>
      <c r="BC325" s="3" t="str">
        <f>HYPERLINK("https://patentscout.innography.com/share/pQx1tJxjH3kLoPIBzQoLlw%3D%3D","CN115494941")</f>
        <v>CN115494941</v>
      </c>
      <c r="BD325" s="2" t="s">
        <v>7547</v>
      </c>
      <c r="BE325" s="2"/>
      <c r="BF325" s="2" t="s">
        <v>7548</v>
      </c>
      <c r="BG325" s="2" t="str">
        <f>HYPERLINK("https://patentscout.innography.com/share/pQx1tJxjH3kLoPIBzQoLlw%3D%3D/download", "Download PDF")</f>
        <v>Download PDF</v>
      </c>
      <c r="BH325" s="2" t="s">
        <v>7549</v>
      </c>
      <c r="BI325" s="2"/>
      <c r="BJ325" s="2" t="s">
        <v>7544</v>
      </c>
      <c r="BK325" s="2" t="s">
        <v>7544</v>
      </c>
      <c r="BL325" s="2" t="s">
        <v>7544</v>
      </c>
      <c r="BM325" s="2"/>
      <c r="BN325" s="2"/>
      <c r="BO325" s="2"/>
      <c r="BP325" s="2"/>
      <c r="BQ325" s="2"/>
      <c r="BR325" s="2"/>
      <c r="BS325" s="2"/>
      <c r="BT325" s="2"/>
      <c r="BU325" s="2"/>
      <c r="BV325" s="2"/>
      <c r="BW325" s="2"/>
      <c r="BX325" s="2"/>
      <c r="BY325" s="2"/>
      <c r="BZ325" s="2"/>
      <c r="CA325" s="2"/>
      <c r="CB325" s="2"/>
      <c r="CC325" s="2" t="s">
        <v>1829</v>
      </c>
      <c r="CD325" s="2" t="str">
        <f>HYPERLINK("https://patentscout.innography.com/share/pQx1tJxjH3kLoPIBzQoLlw%3D%3D", "Innography Link")</f>
        <v>Innography Link</v>
      </c>
      <c r="CE325" s="2"/>
      <c r="CF325" s="2"/>
      <c r="CG325" s="2"/>
      <c r="CH325" s="2"/>
      <c r="CI325" s="2"/>
      <c r="CK325" s="2" t="s">
        <v>7550</v>
      </c>
    </row>
    <row r="326" spans="1:95" ht="152" customHeight="1" x14ac:dyDescent="0.45">
      <c r="A326" s="2">
        <v>6</v>
      </c>
      <c r="B326" s="2">
        <v>0</v>
      </c>
      <c r="C326" s="2"/>
      <c r="D326" s="2" t="s">
        <v>7551</v>
      </c>
      <c r="E326" s="2" t="s">
        <v>7552</v>
      </c>
      <c r="F326" s="2"/>
      <c r="G326" s="2" t="s">
        <v>7552</v>
      </c>
      <c r="H326" s="2" t="s">
        <v>7553</v>
      </c>
      <c r="I326" s="2" t="s">
        <v>7553</v>
      </c>
      <c r="J326" s="2" t="s">
        <v>7554</v>
      </c>
      <c r="K326" s="2" t="s">
        <v>7552</v>
      </c>
      <c r="L326" s="2" t="s">
        <v>7552</v>
      </c>
      <c r="M326" s="2" t="s">
        <v>7555</v>
      </c>
      <c r="N326" s="2" t="s">
        <v>7556</v>
      </c>
      <c r="O326" s="2" t="s">
        <v>7557</v>
      </c>
      <c r="P326" s="2" t="s">
        <v>7558</v>
      </c>
      <c r="Q326" s="2" t="s">
        <v>7559</v>
      </c>
      <c r="R326" s="2" t="s">
        <v>7559</v>
      </c>
      <c r="S326" s="2" t="s">
        <v>7558</v>
      </c>
      <c r="T326" s="2">
        <v>73</v>
      </c>
      <c r="U326" s="2">
        <v>69</v>
      </c>
      <c r="V326" s="2" t="s">
        <v>7560</v>
      </c>
      <c r="W326" s="2"/>
      <c r="X326" s="2"/>
      <c r="Y326" s="2"/>
      <c r="Z326" s="2" t="s">
        <v>7561</v>
      </c>
      <c r="AA326" s="2" t="s">
        <v>7561</v>
      </c>
      <c r="AB326" s="2">
        <v>10</v>
      </c>
      <c r="AC326" s="2" t="s">
        <v>214</v>
      </c>
      <c r="AD326" s="2" t="s">
        <v>7562</v>
      </c>
      <c r="AE326" s="2">
        <v>83</v>
      </c>
      <c r="AF326" s="2" t="s">
        <v>141</v>
      </c>
      <c r="AG326" s="2"/>
      <c r="AH326" s="2"/>
      <c r="AI326" s="2"/>
      <c r="AJ326" s="2"/>
      <c r="AK326" s="2" t="s">
        <v>217</v>
      </c>
      <c r="AL326" s="2" t="s">
        <v>7563</v>
      </c>
      <c r="AM326" s="2" t="s">
        <v>7564</v>
      </c>
      <c r="AN326" s="2" t="s">
        <v>5752</v>
      </c>
      <c r="AO326" s="2" t="s">
        <v>7565</v>
      </c>
      <c r="AP326" s="2">
        <v>264001230</v>
      </c>
      <c r="AQ326" s="2">
        <v>264001230</v>
      </c>
      <c r="AR326" s="2" t="s">
        <v>514</v>
      </c>
      <c r="AS326" s="2">
        <v>62296839</v>
      </c>
      <c r="AT326" s="2" t="s">
        <v>7566</v>
      </c>
      <c r="AU326" s="2"/>
      <c r="AV326" s="2"/>
      <c r="AW326" s="2" t="s">
        <v>219</v>
      </c>
      <c r="AX326" s="2">
        <v>57823773</v>
      </c>
      <c r="AY326" s="2" t="s">
        <v>7567</v>
      </c>
      <c r="AZ326" s="2" t="s">
        <v>7568</v>
      </c>
      <c r="BA326" s="2" t="s">
        <v>7569</v>
      </c>
      <c r="BB326" s="2">
        <v>0</v>
      </c>
      <c r="BC326" s="3" t="str">
        <f>HYPERLINK("https://patentscout.innography.com/share/GfLMbt2yHRQeAe1ByX5B5Q%3D%3D","KR20180054377")</f>
        <v>KR20180054377</v>
      </c>
      <c r="BD326" s="2" t="s">
        <v>7570</v>
      </c>
      <c r="BE326" s="2"/>
      <c r="BF326" s="2" t="s">
        <v>7571</v>
      </c>
      <c r="BG326" s="2" t="str">
        <f>HYPERLINK("https://patentscout.innography.com/share/GfLMbt2yHRQeAe1ByX5B5Q%3D%3D/download", "Download PDF")</f>
        <v>Download PDF</v>
      </c>
      <c r="BH326" s="2" t="s">
        <v>7572</v>
      </c>
      <c r="BI326" s="2"/>
      <c r="BJ326" s="2" t="s">
        <v>7567</v>
      </c>
      <c r="BK326" s="2" t="s">
        <v>7567</v>
      </c>
      <c r="BL326" s="2" t="s">
        <v>7567</v>
      </c>
      <c r="BM326" s="2"/>
      <c r="BN326" s="2"/>
      <c r="BO326" s="2"/>
      <c r="BP326" s="2"/>
      <c r="BQ326" s="2"/>
      <c r="BR326" s="2"/>
      <c r="BS326" s="2"/>
      <c r="BT326" s="2"/>
      <c r="BU326" s="2" t="s">
        <v>7573</v>
      </c>
      <c r="BV326" s="2" t="s">
        <v>7574</v>
      </c>
      <c r="BW326" s="2"/>
      <c r="BX326" s="2"/>
      <c r="BY326" s="2"/>
      <c r="BZ326" s="2"/>
      <c r="CA326" s="2"/>
      <c r="CB326" s="2"/>
      <c r="CC326" s="2" t="s">
        <v>228</v>
      </c>
      <c r="CD326" s="2" t="str">
        <f>HYPERLINK("https://patentscout.innography.com/share/GfLMbt2yHRQeAe1ByX5B5Q%3D%3D", "Innography Link")</f>
        <v>Innography Link</v>
      </c>
      <c r="CE326" s="2"/>
      <c r="CF326" s="2"/>
      <c r="CG326" s="2"/>
      <c r="CH326" s="2"/>
      <c r="CI326" s="2"/>
      <c r="CK326" s="2" t="s">
        <v>7575</v>
      </c>
    </row>
    <row r="327" spans="1:95" ht="152" customHeight="1" x14ac:dyDescent="0.45">
      <c r="A327" s="2">
        <v>1</v>
      </c>
      <c r="B327" s="2">
        <v>16</v>
      </c>
      <c r="C327" s="2" t="s">
        <v>7576</v>
      </c>
      <c r="D327" s="2" t="s">
        <v>7577</v>
      </c>
      <c r="E327" s="2" t="s">
        <v>7578</v>
      </c>
      <c r="F327" s="2" t="s">
        <v>1845</v>
      </c>
      <c r="G327" s="2" t="s">
        <v>7578</v>
      </c>
      <c r="H327" s="2" t="s">
        <v>7579</v>
      </c>
      <c r="I327" s="2" t="s">
        <v>7580</v>
      </c>
      <c r="J327" s="2" t="s">
        <v>1845</v>
      </c>
      <c r="K327" s="2" t="s">
        <v>7581</v>
      </c>
      <c r="L327" s="2" t="s">
        <v>7581</v>
      </c>
      <c r="M327" s="2" t="s">
        <v>7582</v>
      </c>
      <c r="N327" s="2" t="s">
        <v>7583</v>
      </c>
      <c r="O327" s="2" t="s">
        <v>7584</v>
      </c>
      <c r="P327" s="2" t="s">
        <v>7585</v>
      </c>
      <c r="Q327" s="2" t="s">
        <v>4194</v>
      </c>
      <c r="R327" s="2" t="s">
        <v>4195</v>
      </c>
      <c r="S327" s="2" t="s">
        <v>7585</v>
      </c>
      <c r="T327" s="2">
        <v>73</v>
      </c>
      <c r="U327" s="2">
        <v>33</v>
      </c>
      <c r="V327" s="2" t="s">
        <v>7586</v>
      </c>
      <c r="W327" s="2"/>
      <c r="X327" s="2"/>
      <c r="Y327" s="2"/>
      <c r="Z327" s="2" t="s">
        <v>7587</v>
      </c>
      <c r="AA327" s="2" t="s">
        <v>7588</v>
      </c>
      <c r="AB327" s="2">
        <v>20</v>
      </c>
      <c r="AC327" s="2" t="s">
        <v>214</v>
      </c>
      <c r="AD327" s="2" t="s">
        <v>7589</v>
      </c>
      <c r="AE327" s="2">
        <v>94</v>
      </c>
      <c r="AF327" s="2" t="s">
        <v>180</v>
      </c>
      <c r="AG327" s="2"/>
      <c r="AH327" s="2"/>
      <c r="AI327" s="2" t="s">
        <v>7590</v>
      </c>
      <c r="AJ327" s="2"/>
      <c r="AK327" s="2" t="s">
        <v>1816</v>
      </c>
      <c r="AL327" s="2" t="s">
        <v>7591</v>
      </c>
      <c r="AM327" s="2" t="s">
        <v>7592</v>
      </c>
      <c r="AN327" s="2" t="s">
        <v>7593</v>
      </c>
      <c r="AO327" s="2" t="s">
        <v>7593</v>
      </c>
      <c r="AP327" s="2">
        <v>360099130</v>
      </c>
      <c r="AQ327" s="2">
        <v>360099130</v>
      </c>
      <c r="AR327" s="2" t="s">
        <v>415</v>
      </c>
      <c r="AS327" s="2">
        <v>69162048</v>
      </c>
      <c r="AT327" s="2" t="s">
        <v>7594</v>
      </c>
      <c r="AU327" s="2"/>
      <c r="AV327" s="2"/>
      <c r="AW327" s="2" t="s">
        <v>1821</v>
      </c>
      <c r="AX327" s="2">
        <v>72887301</v>
      </c>
      <c r="AY327" s="2" t="s">
        <v>7595</v>
      </c>
      <c r="AZ327" s="2" t="s">
        <v>7596</v>
      </c>
      <c r="BA327" s="2" t="s">
        <v>7597</v>
      </c>
      <c r="BB327" s="2">
        <v>0</v>
      </c>
      <c r="BC327" s="3" t="str">
        <f>HYPERLINK("https://patentscout.innography.com/share/3zZs85hAGIbyl4315WJIvQ%3D%3D","CN110753463")</f>
        <v>CN110753463</v>
      </c>
      <c r="BD327" s="2" t="s">
        <v>7598</v>
      </c>
      <c r="BE327" s="2" t="s">
        <v>7599</v>
      </c>
      <c r="BF327" s="2" t="s">
        <v>7600</v>
      </c>
      <c r="BG327" s="2" t="str">
        <f>HYPERLINK("https://patentscout.innography.com/share/3zZs85hAGIbyl4315WJIvQ%3D%3D/download", "Download PDF")</f>
        <v>Download PDF</v>
      </c>
      <c r="BH327" s="2" t="s">
        <v>7601</v>
      </c>
      <c r="BI327" s="2"/>
      <c r="BJ327" s="2" t="s">
        <v>7602</v>
      </c>
      <c r="BK327" s="2" t="s">
        <v>7603</v>
      </c>
      <c r="BL327" s="2" t="s">
        <v>7603</v>
      </c>
      <c r="BM327" s="2"/>
      <c r="BN327" s="2"/>
      <c r="BO327" s="2"/>
      <c r="BP327" s="2"/>
      <c r="BQ327" s="2"/>
      <c r="BR327" s="2"/>
      <c r="BS327" s="2"/>
      <c r="BT327" s="2"/>
      <c r="BU327" s="2" t="s">
        <v>3427</v>
      </c>
      <c r="BV327" s="2" t="s">
        <v>5700</v>
      </c>
      <c r="BW327" s="2"/>
      <c r="BX327" s="2"/>
      <c r="BY327" s="2"/>
      <c r="BZ327" s="2"/>
      <c r="CA327" s="2"/>
      <c r="CB327" s="2"/>
      <c r="CC327" s="2" t="s">
        <v>1829</v>
      </c>
      <c r="CD327" s="2" t="str">
        <f>HYPERLINK("https://patentscout.innography.com/share/3zZs85hAGIbyl4315WJIvQ%3D%3D", "Innography Link")</f>
        <v>Innography Link</v>
      </c>
      <c r="CE327" s="2"/>
      <c r="CF327" s="2"/>
      <c r="CG327" s="2"/>
      <c r="CH327" s="2"/>
      <c r="CI327" s="2"/>
      <c r="CK327" s="2" t="s">
        <v>7604</v>
      </c>
    </row>
    <row r="328" spans="1:95" ht="30" customHeight="1" x14ac:dyDescent="0.45">
      <c r="A328" s="2">
        <v>0</v>
      </c>
      <c r="B328" s="2">
        <v>5</v>
      </c>
      <c r="C328" s="2" t="s">
        <v>7605</v>
      </c>
      <c r="D328" s="2"/>
      <c r="E328" s="2" t="s">
        <v>7606</v>
      </c>
      <c r="F328" s="2" t="s">
        <v>6402</v>
      </c>
      <c r="G328" s="2" t="s">
        <v>7606</v>
      </c>
      <c r="H328" s="2" t="s">
        <v>7607</v>
      </c>
      <c r="I328" s="2" t="s">
        <v>7607</v>
      </c>
      <c r="J328" s="2" t="s">
        <v>6402</v>
      </c>
      <c r="K328" s="2" t="s">
        <v>7606</v>
      </c>
      <c r="L328" s="2" t="s">
        <v>7606</v>
      </c>
      <c r="M328" s="2" t="s">
        <v>7608</v>
      </c>
      <c r="N328" s="2" t="s">
        <v>7609</v>
      </c>
      <c r="O328" s="2" t="s">
        <v>7610</v>
      </c>
      <c r="P328" s="2" t="s">
        <v>7611</v>
      </c>
      <c r="Q328" s="2" t="s">
        <v>7611</v>
      </c>
      <c r="R328" s="2" t="s">
        <v>7612</v>
      </c>
      <c r="S328" s="2" t="s">
        <v>7611</v>
      </c>
      <c r="T328" s="2">
        <v>73</v>
      </c>
      <c r="U328" s="2">
        <v>7</v>
      </c>
      <c r="V328" s="2" t="s">
        <v>7613</v>
      </c>
      <c r="W328" s="2"/>
      <c r="X328" s="2"/>
      <c r="Y328" s="2"/>
      <c r="Z328" s="2" t="s">
        <v>7614</v>
      </c>
      <c r="AA328" s="2" t="s">
        <v>7615</v>
      </c>
      <c r="AB328" s="2">
        <v>10</v>
      </c>
      <c r="AC328" s="2" t="s">
        <v>214</v>
      </c>
      <c r="AD328" s="2" t="s">
        <v>7616</v>
      </c>
      <c r="AE328" s="2">
        <v>243</v>
      </c>
      <c r="AF328" s="2" t="s">
        <v>180</v>
      </c>
      <c r="AG328" s="2"/>
      <c r="AH328" s="2"/>
      <c r="AI328" s="2" t="s">
        <v>7617</v>
      </c>
      <c r="AJ328" s="2"/>
      <c r="AK328" s="2" t="s">
        <v>1816</v>
      </c>
      <c r="AL328" s="2" t="s">
        <v>7618</v>
      </c>
      <c r="AM328" s="2" t="s">
        <v>7619</v>
      </c>
      <c r="AN328" s="2" t="s">
        <v>7620</v>
      </c>
      <c r="AO328" s="2" t="s">
        <v>7621</v>
      </c>
      <c r="AP328" s="2" t="s">
        <v>7622</v>
      </c>
      <c r="AQ328" s="2" t="s">
        <v>7622</v>
      </c>
      <c r="AR328" s="2" t="s">
        <v>253</v>
      </c>
      <c r="AS328" s="2">
        <v>69744982</v>
      </c>
      <c r="AT328" s="2" t="s">
        <v>7623</v>
      </c>
      <c r="AU328" s="2"/>
      <c r="AV328" s="2"/>
      <c r="AW328" s="2" t="s">
        <v>1821</v>
      </c>
      <c r="AX328" s="2">
        <v>86937125</v>
      </c>
      <c r="AY328" s="2" t="s">
        <v>7624</v>
      </c>
      <c r="AZ328" s="2" t="s">
        <v>7625</v>
      </c>
      <c r="BA328" s="2" t="s">
        <v>7626</v>
      </c>
      <c r="BB328" s="2">
        <v>0</v>
      </c>
      <c r="BC328" s="3" t="str">
        <f>HYPERLINK("https://patentscout.innography.com/share/SnILGj0eNfhaN_G3ABbKMQ%3D%3D","CN110887947")</f>
        <v>CN110887947</v>
      </c>
      <c r="BD328" s="2" t="s">
        <v>7627</v>
      </c>
      <c r="BE328" s="2" t="s">
        <v>7628</v>
      </c>
      <c r="BF328" s="2" t="s">
        <v>7629</v>
      </c>
      <c r="BG328" s="2" t="str">
        <f>HYPERLINK("https://patentscout.innography.com/share/SnILGj0eNfhaN_G3ABbKMQ%3D%3D/download", "Download PDF")</f>
        <v>Download PDF</v>
      </c>
      <c r="BH328" s="2" t="s">
        <v>7630</v>
      </c>
      <c r="BI328" s="2"/>
      <c r="BJ328" s="2" t="s">
        <v>7631</v>
      </c>
      <c r="BK328" s="2" t="s">
        <v>7631</v>
      </c>
      <c r="BL328" s="2" t="s">
        <v>7631</v>
      </c>
      <c r="BM328" s="2"/>
      <c r="BN328" s="2"/>
      <c r="BO328" s="2"/>
      <c r="BP328" s="2"/>
      <c r="BQ328" s="2"/>
      <c r="BR328" s="2"/>
      <c r="BS328" s="2"/>
      <c r="BT328" s="2"/>
      <c r="BU328" s="2"/>
      <c r="BV328" s="2" t="s">
        <v>7632</v>
      </c>
      <c r="BW328" s="2"/>
      <c r="BX328" s="2"/>
      <c r="BY328" s="2"/>
      <c r="BZ328" s="2"/>
      <c r="CA328" s="2"/>
      <c r="CB328" s="2"/>
      <c r="CC328" s="2" t="s">
        <v>1829</v>
      </c>
      <c r="CD328" s="2" t="str">
        <f>HYPERLINK("https://patentscout.innography.com/share/SnILGj0eNfhaN_G3ABbKMQ%3D%3D", "Innography Link")</f>
        <v>Innography Link</v>
      </c>
      <c r="CE328" s="2"/>
      <c r="CF328" s="2"/>
      <c r="CG328" s="2"/>
      <c r="CH328" s="2"/>
      <c r="CI328" s="2"/>
      <c r="CK328" s="2" t="s">
        <v>7633</v>
      </c>
    </row>
    <row r="329" spans="1:95" ht="152" customHeight="1" x14ac:dyDescent="0.45">
      <c r="A329" s="2">
        <v>0</v>
      </c>
      <c r="B329" s="2">
        <v>3</v>
      </c>
      <c r="C329" s="2" t="s">
        <v>7634</v>
      </c>
      <c r="D329" s="2"/>
      <c r="E329" s="2" t="s">
        <v>7635</v>
      </c>
      <c r="F329" s="2"/>
      <c r="G329" s="2" t="s">
        <v>7635</v>
      </c>
      <c r="H329" s="2" t="s">
        <v>7636</v>
      </c>
      <c r="I329" s="2" t="s">
        <v>4065</v>
      </c>
      <c r="J329" s="2" t="s">
        <v>4067</v>
      </c>
      <c r="K329" s="2" t="s">
        <v>7637</v>
      </c>
      <c r="L329" s="2" t="s">
        <v>7637</v>
      </c>
      <c r="M329" s="2" t="s">
        <v>7638</v>
      </c>
      <c r="N329" s="2" t="s">
        <v>7639</v>
      </c>
      <c r="O329" s="2" t="s">
        <v>7640</v>
      </c>
      <c r="P329" s="2" t="s">
        <v>7641</v>
      </c>
      <c r="Q329" s="2" t="s">
        <v>7642</v>
      </c>
      <c r="R329" s="2" t="s">
        <v>7643</v>
      </c>
      <c r="S329" s="2" t="s">
        <v>7641</v>
      </c>
      <c r="T329" s="2">
        <v>73</v>
      </c>
      <c r="U329" s="2">
        <v>10</v>
      </c>
      <c r="V329" s="2" t="s">
        <v>7644</v>
      </c>
      <c r="W329" s="2"/>
      <c r="X329" s="2"/>
      <c r="Y329" s="2"/>
      <c r="Z329" s="2" t="s">
        <v>7645</v>
      </c>
      <c r="AA329" s="2" t="s">
        <v>7646</v>
      </c>
      <c r="AB329" s="2">
        <v>15</v>
      </c>
      <c r="AC329" s="2" t="s">
        <v>214</v>
      </c>
      <c r="AD329" s="2" t="s">
        <v>7647</v>
      </c>
      <c r="AE329" s="2">
        <v>95</v>
      </c>
      <c r="AF329" s="2" t="s">
        <v>141</v>
      </c>
      <c r="AG329" s="2"/>
      <c r="AH329" s="2"/>
      <c r="AI329" s="2"/>
      <c r="AJ329" s="2"/>
      <c r="AK329" s="2" t="s">
        <v>1816</v>
      </c>
      <c r="AL329" s="2" t="s">
        <v>7648</v>
      </c>
      <c r="AM329" s="2" t="s">
        <v>7649</v>
      </c>
      <c r="AN329" s="2" t="s">
        <v>7650</v>
      </c>
      <c r="AO329" s="2" t="s">
        <v>7650</v>
      </c>
      <c r="AP329" s="2">
        <v>359565000</v>
      </c>
      <c r="AQ329" s="2">
        <v>359565000</v>
      </c>
      <c r="AR329" s="2" t="s">
        <v>541</v>
      </c>
      <c r="AS329" s="2">
        <v>69140305</v>
      </c>
      <c r="AT329" s="2" t="s">
        <v>7651</v>
      </c>
      <c r="AU329" s="2"/>
      <c r="AV329" s="2"/>
      <c r="AW329" s="2" t="s">
        <v>1821</v>
      </c>
      <c r="AX329" s="2">
        <v>72802877</v>
      </c>
      <c r="AY329" s="2" t="s">
        <v>7652</v>
      </c>
      <c r="AZ329" s="2" t="s">
        <v>7653</v>
      </c>
      <c r="BA329" s="2" t="s">
        <v>7654</v>
      </c>
      <c r="BB329" s="2">
        <v>0</v>
      </c>
      <c r="BC329" s="3" t="str">
        <f>HYPERLINK("https://patentscout.innography.com/share/q9jpGdtL--Y60bOj5AoQfA%3D%3D","CN112352188")</f>
        <v>CN112352188</v>
      </c>
      <c r="BD329" s="2" t="s">
        <v>7655</v>
      </c>
      <c r="BE329" s="2" t="s">
        <v>7656</v>
      </c>
      <c r="BF329" s="2" t="s">
        <v>7657</v>
      </c>
      <c r="BG329" s="2" t="str">
        <f>HYPERLINK("https://patentscout.innography.com/share/q9jpGdtL--Y60bOj5AoQfA%3D%3D/download", "Download PDF")</f>
        <v>Download PDF</v>
      </c>
      <c r="BH329" s="2" t="s">
        <v>7658</v>
      </c>
      <c r="BI329" s="2" t="s">
        <v>7659</v>
      </c>
      <c r="BJ329" s="2" t="s">
        <v>7660</v>
      </c>
      <c r="BK329" s="2" t="s">
        <v>7661</v>
      </c>
      <c r="BL329" s="2" t="s">
        <v>7661</v>
      </c>
      <c r="BM329" s="2"/>
      <c r="BN329" s="2"/>
      <c r="BO329" s="2"/>
      <c r="BP329" s="2"/>
      <c r="BQ329" s="2"/>
      <c r="BR329" s="2"/>
      <c r="BS329" s="2"/>
      <c r="BT329" s="2"/>
      <c r="BU329" s="2"/>
      <c r="BV329" s="2" t="s">
        <v>7662</v>
      </c>
      <c r="BW329" s="2"/>
      <c r="BX329" s="2"/>
      <c r="BY329" s="2"/>
      <c r="BZ329" s="2"/>
      <c r="CA329" s="2"/>
      <c r="CB329" s="2"/>
      <c r="CC329" s="2" t="s">
        <v>1829</v>
      </c>
      <c r="CD329" s="2" t="str">
        <f>HYPERLINK("https://patentscout.innography.com/share/q9jpGdtL--Y60bOj5AoQfA%3D%3D", "Innography Link")</f>
        <v>Innography Link</v>
      </c>
      <c r="CE329" s="2"/>
      <c r="CF329" s="2"/>
      <c r="CG329" s="2"/>
      <c r="CH329" s="2"/>
      <c r="CI329" s="2"/>
      <c r="CK329" s="2" t="s">
        <v>7663</v>
      </c>
      <c r="CL329" s="2" t="s">
        <v>7664</v>
      </c>
      <c r="CM329" s="2" t="s">
        <v>7665</v>
      </c>
    </row>
    <row r="330" spans="1:95" ht="152" customHeight="1" x14ac:dyDescent="0.45">
      <c r="A330" s="2">
        <v>2</v>
      </c>
      <c r="B330" s="2">
        <v>0</v>
      </c>
      <c r="C330" s="2"/>
      <c r="D330" s="2" t="s">
        <v>7666</v>
      </c>
      <c r="E330" s="2" t="s">
        <v>7667</v>
      </c>
      <c r="F330" s="2"/>
      <c r="G330" s="2" t="s">
        <v>7667</v>
      </c>
      <c r="H330" s="2" t="s">
        <v>7668</v>
      </c>
      <c r="I330" s="2" t="s">
        <v>7668</v>
      </c>
      <c r="J330" s="2" t="s">
        <v>7669</v>
      </c>
      <c r="K330" s="2" t="s">
        <v>7667</v>
      </c>
      <c r="L330" s="2" t="s">
        <v>7667</v>
      </c>
      <c r="M330" s="2" t="s">
        <v>7670</v>
      </c>
      <c r="N330" s="2" t="s">
        <v>7671</v>
      </c>
      <c r="O330" s="2" t="s">
        <v>7672</v>
      </c>
      <c r="P330" s="2" t="s">
        <v>7673</v>
      </c>
      <c r="Q330" s="2" t="s">
        <v>7673</v>
      </c>
      <c r="R330" s="2" t="s">
        <v>7674</v>
      </c>
      <c r="S330" s="2" t="s">
        <v>7673</v>
      </c>
      <c r="T330" s="2">
        <v>73</v>
      </c>
      <c r="U330" s="2">
        <v>59</v>
      </c>
      <c r="V330" s="2" t="s">
        <v>7675</v>
      </c>
      <c r="W330" s="2"/>
      <c r="X330" s="2"/>
      <c r="Y330" s="2"/>
      <c r="Z330" s="2" t="s">
        <v>7676</v>
      </c>
      <c r="AA330" s="2" t="s">
        <v>7677</v>
      </c>
      <c r="AB330" s="2">
        <v>6</v>
      </c>
      <c r="AC330" s="2" t="s">
        <v>214</v>
      </c>
      <c r="AD330" s="2" t="s">
        <v>7678</v>
      </c>
      <c r="AE330" s="2">
        <v>334</v>
      </c>
      <c r="AF330" s="2" t="s">
        <v>141</v>
      </c>
      <c r="AG330" s="2"/>
      <c r="AH330" s="2"/>
      <c r="AI330" s="2"/>
      <c r="AJ330" s="2"/>
      <c r="AK330" s="2" t="s">
        <v>1816</v>
      </c>
      <c r="AL330" s="2" t="s">
        <v>7679</v>
      </c>
      <c r="AM330" s="2" t="s">
        <v>7680</v>
      </c>
      <c r="AN330" s="2" t="s">
        <v>7681</v>
      </c>
      <c r="AO330" s="2" t="s">
        <v>7682</v>
      </c>
      <c r="AP330" s="2" t="s">
        <v>7683</v>
      </c>
      <c r="AQ330" s="2" t="s">
        <v>7683</v>
      </c>
      <c r="AR330" s="2" t="s">
        <v>185</v>
      </c>
      <c r="AS330" s="2">
        <v>75812383</v>
      </c>
      <c r="AT330" s="2" t="s">
        <v>7684</v>
      </c>
      <c r="AU330" s="2"/>
      <c r="AV330" s="2"/>
      <c r="AW330" s="2" t="s">
        <v>1821</v>
      </c>
      <c r="AX330" s="2">
        <v>80451533</v>
      </c>
      <c r="AY330" s="2" t="s">
        <v>7685</v>
      </c>
      <c r="AZ330" s="2" t="s">
        <v>7686</v>
      </c>
      <c r="BA330" s="2" t="s">
        <v>7687</v>
      </c>
      <c r="BB330" s="2">
        <v>0</v>
      </c>
      <c r="BC330" s="3" t="str">
        <f>HYPERLINK("https://patentscout.innography.com/share/0yt15ZUKi9sWuklLesLPMw%3D%3D","CN112798617")</f>
        <v>CN112798617</v>
      </c>
      <c r="BD330" s="2" t="s">
        <v>7688</v>
      </c>
      <c r="BE330" s="2" t="s">
        <v>7689</v>
      </c>
      <c r="BF330" s="2" t="s">
        <v>7690</v>
      </c>
      <c r="BG330" s="2" t="str">
        <f>HYPERLINK("https://patentscout.innography.com/share/0yt15ZUKi9sWuklLesLPMw%3D%3D/download", "Download PDF")</f>
        <v>Download PDF</v>
      </c>
      <c r="BH330" s="2" t="s">
        <v>7691</v>
      </c>
      <c r="BI330" s="2"/>
      <c r="BJ330" s="2" t="s">
        <v>7685</v>
      </c>
      <c r="BK330" s="2" t="s">
        <v>7685</v>
      </c>
      <c r="BL330" s="2" t="s">
        <v>7685</v>
      </c>
      <c r="BM330" s="2"/>
      <c r="BN330" s="2"/>
      <c r="BO330" s="2"/>
      <c r="BP330" s="2"/>
      <c r="BQ330" s="2"/>
      <c r="BR330" s="2"/>
      <c r="BS330" s="2"/>
      <c r="BT330" s="2"/>
      <c r="BU330" s="2"/>
      <c r="BV330" s="2" t="s">
        <v>7692</v>
      </c>
      <c r="BW330" s="2"/>
      <c r="BX330" s="2"/>
      <c r="BY330" s="2"/>
      <c r="BZ330" s="2"/>
      <c r="CA330" s="2"/>
      <c r="CB330" s="2"/>
      <c r="CC330" s="2" t="s">
        <v>1829</v>
      </c>
      <c r="CD330" s="2" t="str">
        <f>HYPERLINK("https://patentscout.innography.com/share/0yt15ZUKi9sWuklLesLPMw%3D%3D", "Innography Link")</f>
        <v>Innography Link</v>
      </c>
      <c r="CE330" s="2"/>
      <c r="CF330" s="2"/>
      <c r="CG330" s="2"/>
      <c r="CH330" s="2"/>
      <c r="CI330" s="2"/>
      <c r="CK330" s="2" t="s">
        <v>7693</v>
      </c>
    </row>
    <row r="331" spans="1:95" ht="152" customHeight="1" x14ac:dyDescent="0.45">
      <c r="A331" s="2">
        <v>2</v>
      </c>
      <c r="B331" s="2">
        <v>0</v>
      </c>
      <c r="C331" s="2"/>
      <c r="D331" s="2" t="s">
        <v>7694</v>
      </c>
      <c r="E331" s="2" t="s">
        <v>2280</v>
      </c>
      <c r="F331" s="2" t="s">
        <v>7695</v>
      </c>
      <c r="G331" s="2" t="s">
        <v>2280</v>
      </c>
      <c r="H331" s="2" t="s">
        <v>6969</v>
      </c>
      <c r="I331" s="2" t="s">
        <v>2327</v>
      </c>
      <c r="J331" s="2" t="s">
        <v>7695</v>
      </c>
      <c r="K331" s="2" t="s">
        <v>2280</v>
      </c>
      <c r="L331" s="2" t="s">
        <v>2280</v>
      </c>
      <c r="M331" s="2" t="s">
        <v>7696</v>
      </c>
      <c r="N331" s="2" t="s">
        <v>6972</v>
      </c>
      <c r="O331" s="2"/>
      <c r="P331" s="2" t="s">
        <v>6973</v>
      </c>
      <c r="Q331" s="2" t="s">
        <v>6973</v>
      </c>
      <c r="R331" s="2" t="s">
        <v>6974</v>
      </c>
      <c r="S331" s="2" t="s">
        <v>6973</v>
      </c>
      <c r="T331" s="2">
        <v>73</v>
      </c>
      <c r="U331" s="2">
        <v>66</v>
      </c>
      <c r="V331" s="2" t="s">
        <v>7697</v>
      </c>
      <c r="W331" s="2" t="s">
        <v>7698</v>
      </c>
      <c r="X331" s="2">
        <v>2124</v>
      </c>
      <c r="Y331" s="2"/>
      <c r="Z331" s="2" t="s">
        <v>7699</v>
      </c>
      <c r="AA331" s="2" t="s">
        <v>7700</v>
      </c>
      <c r="AB331" s="2">
        <v>30</v>
      </c>
      <c r="AC331" s="2" t="s">
        <v>139</v>
      </c>
      <c r="AD331" s="2" t="s">
        <v>6978</v>
      </c>
      <c r="AE331" s="2">
        <v>153</v>
      </c>
      <c r="AF331" s="2" t="s">
        <v>180</v>
      </c>
      <c r="AG331" s="2"/>
      <c r="AH331" s="2"/>
      <c r="AI331" s="2" t="s">
        <v>7701</v>
      </c>
      <c r="AJ331" s="2"/>
      <c r="AK331" s="2" t="s">
        <v>142</v>
      </c>
      <c r="AL331" s="2" t="s">
        <v>6979</v>
      </c>
      <c r="AM331" s="2" t="s">
        <v>6980</v>
      </c>
      <c r="AN331" s="2" t="s">
        <v>6509</v>
      </c>
      <c r="AO331" s="2" t="s">
        <v>7702</v>
      </c>
      <c r="AP331" s="2">
        <v>706060000</v>
      </c>
      <c r="AQ331" s="2">
        <v>706060000</v>
      </c>
      <c r="AR331" s="2" t="s">
        <v>514</v>
      </c>
      <c r="AS331" s="2">
        <v>78770606</v>
      </c>
      <c r="AT331" s="2" t="s">
        <v>6983</v>
      </c>
      <c r="AU331" s="2"/>
      <c r="AV331" s="2"/>
      <c r="AW331" s="2" t="s">
        <v>148</v>
      </c>
      <c r="AX331" s="2">
        <v>91303475</v>
      </c>
      <c r="AY331" s="2" t="s">
        <v>6984</v>
      </c>
      <c r="AZ331" s="2" t="s">
        <v>7703</v>
      </c>
      <c r="BA331" s="2" t="s">
        <v>7704</v>
      </c>
      <c r="BB331" s="2">
        <v>0</v>
      </c>
      <c r="BC331" s="3" t="str">
        <f>HYPERLINK("https://patentscout.innography.com/share/_on3Y5WMDWbScc-XazsGvQ%3D%3D","US20220156614")</f>
        <v>US20220156614</v>
      </c>
      <c r="BD331" s="2" t="s">
        <v>7705</v>
      </c>
      <c r="BE331" s="2" t="s">
        <v>7706</v>
      </c>
      <c r="BF331" s="2" t="s">
        <v>7707</v>
      </c>
      <c r="BG331" s="2" t="str">
        <f>HYPERLINK("https://patentscout.innography.com/share/_on3Y5WMDWbScc-XazsGvQ%3D%3D/download", "Download PDF")</f>
        <v>Download PDF</v>
      </c>
      <c r="BH331" s="2" t="s">
        <v>7708</v>
      </c>
      <c r="BI331" s="2"/>
      <c r="BJ331" s="2" t="s">
        <v>6992</v>
      </c>
      <c r="BK331" s="2" t="s">
        <v>6992</v>
      </c>
      <c r="BL331" s="2" t="s">
        <v>6992</v>
      </c>
      <c r="BM331" s="2"/>
      <c r="BN331" s="2"/>
      <c r="BO331" s="2"/>
      <c r="BP331" s="2"/>
      <c r="BQ331" s="2"/>
      <c r="BR331" s="2"/>
      <c r="BS331" s="2"/>
      <c r="BT331" s="2"/>
      <c r="BU331" s="2"/>
      <c r="BV331" s="2"/>
      <c r="BW331" s="2"/>
      <c r="BX331" s="2"/>
      <c r="BY331" s="2"/>
      <c r="BZ331" s="2"/>
      <c r="CA331" s="2"/>
      <c r="CB331" s="2"/>
      <c r="CC331" s="2" t="s">
        <v>158</v>
      </c>
      <c r="CD331" s="2" t="str">
        <f>HYPERLINK("https://patentscout.innography.com/share/_on3Y5WMDWbScc-XazsGvQ%3D%3D", "Innography Link")</f>
        <v>Innography Link</v>
      </c>
      <c r="CE331" s="2"/>
      <c r="CF331" s="2"/>
      <c r="CG331" s="2"/>
      <c r="CH331" s="2"/>
      <c r="CI331" s="2"/>
      <c r="CK331" s="2" t="s">
        <v>7709</v>
      </c>
      <c r="CL331" s="2" t="s">
        <v>7710</v>
      </c>
    </row>
    <row r="332" spans="1:95" ht="152" customHeight="1" x14ac:dyDescent="0.45">
      <c r="A332" s="2">
        <v>0</v>
      </c>
      <c r="B332" s="2">
        <v>0</v>
      </c>
      <c r="C332" s="2"/>
      <c r="D332" s="2"/>
      <c r="E332" s="2" t="s">
        <v>2280</v>
      </c>
      <c r="F332" s="2"/>
      <c r="G332" s="2" t="s">
        <v>2280</v>
      </c>
      <c r="H332" s="2" t="s">
        <v>7418</v>
      </c>
      <c r="I332" s="2" t="s">
        <v>2327</v>
      </c>
      <c r="J332" s="2" t="s">
        <v>7711</v>
      </c>
      <c r="K332" s="2" t="s">
        <v>1026</v>
      </c>
      <c r="L332" s="2" t="s">
        <v>1026</v>
      </c>
      <c r="M332" s="2" t="s">
        <v>7419</v>
      </c>
      <c r="N332" s="2" t="s">
        <v>7420</v>
      </c>
      <c r="O332" s="2" t="s">
        <v>7712</v>
      </c>
      <c r="P332" s="2" t="s">
        <v>6973</v>
      </c>
      <c r="Q332" s="2" t="s">
        <v>6973</v>
      </c>
      <c r="R332" s="2" t="s">
        <v>6974</v>
      </c>
      <c r="S332" s="2" t="s">
        <v>6973</v>
      </c>
      <c r="T332" s="2">
        <v>73</v>
      </c>
      <c r="U332" s="2">
        <v>31</v>
      </c>
      <c r="V332" s="2" t="s">
        <v>7713</v>
      </c>
      <c r="W332" s="2"/>
      <c r="X332" s="2"/>
      <c r="Y332" s="2"/>
      <c r="Z332" s="2" t="s">
        <v>7714</v>
      </c>
      <c r="AA332" s="2" t="s">
        <v>7715</v>
      </c>
      <c r="AB332" s="2">
        <v>56</v>
      </c>
      <c r="AC332" s="2" t="s">
        <v>139</v>
      </c>
      <c r="AD332" s="2" t="s">
        <v>7426</v>
      </c>
      <c r="AE332" s="2">
        <v>177</v>
      </c>
      <c r="AF332" s="2" t="s">
        <v>141</v>
      </c>
      <c r="AG332" s="2" t="s">
        <v>4830</v>
      </c>
      <c r="AH332" s="2"/>
      <c r="AI332" s="2"/>
      <c r="AJ332" s="2"/>
      <c r="AK332" s="2" t="s">
        <v>619</v>
      </c>
      <c r="AL332" s="2" t="s">
        <v>3898</v>
      </c>
      <c r="AM332" s="2" t="s">
        <v>7428</v>
      </c>
      <c r="AN332" s="2" t="s">
        <v>4831</v>
      </c>
      <c r="AO332" s="2" t="s">
        <v>7716</v>
      </c>
      <c r="AP332" s="2">
        <v>706025000</v>
      </c>
      <c r="AQ332" s="2">
        <v>706025000</v>
      </c>
      <c r="AR332" s="2" t="s">
        <v>415</v>
      </c>
      <c r="AS332" s="2">
        <v>78770613</v>
      </c>
      <c r="AT332" s="2" t="s">
        <v>7430</v>
      </c>
      <c r="AU332" s="2"/>
      <c r="AV332" s="2"/>
      <c r="AW332" s="2" t="s">
        <v>624</v>
      </c>
      <c r="AX332" s="2">
        <v>90873968</v>
      </c>
      <c r="AY332" s="2" t="s">
        <v>7431</v>
      </c>
      <c r="AZ332" s="2" t="s">
        <v>7717</v>
      </c>
      <c r="BA332" s="2" t="s">
        <v>7718</v>
      </c>
      <c r="BB332" s="2">
        <v>0</v>
      </c>
      <c r="BC332" s="3" t="str">
        <f>HYPERLINK("https://patentscout.innography.com/share/LhT4DJDjn_nBAhXPrZ9QpA%3D%3D","WO2022101452")</f>
        <v>WO2022101452</v>
      </c>
      <c r="BD332" s="2" t="s">
        <v>7719</v>
      </c>
      <c r="BE332" s="2" t="s">
        <v>6988</v>
      </c>
      <c r="BF332" s="2" t="s">
        <v>7720</v>
      </c>
      <c r="BG332" s="2" t="str">
        <f>HYPERLINK("https://patentscout.innography.com/share/LhT4DJDjn_nBAhXPrZ9QpA%3D%3D/download", "Download PDF")</f>
        <v>Download PDF</v>
      </c>
      <c r="BH332" s="2" t="s">
        <v>7721</v>
      </c>
      <c r="BI332" s="2"/>
      <c r="BJ332" s="2" t="s">
        <v>7722</v>
      </c>
      <c r="BK332" s="2" t="s">
        <v>7438</v>
      </c>
      <c r="BL332" s="2" t="s">
        <v>7438</v>
      </c>
      <c r="BM332" s="2"/>
      <c r="BN332" s="2"/>
      <c r="BO332" s="2"/>
      <c r="BP332" s="2"/>
      <c r="BQ332" s="2"/>
      <c r="BR332" s="2"/>
      <c r="BS332" s="2"/>
      <c r="BT332" s="2"/>
      <c r="BU332" s="2"/>
      <c r="BV332" s="2"/>
      <c r="BW332" s="2"/>
      <c r="BX332" s="2"/>
      <c r="BY332" s="2"/>
      <c r="BZ332" s="2"/>
      <c r="CA332" s="2"/>
      <c r="CB332" s="2"/>
      <c r="CC332" s="2" t="s">
        <v>635</v>
      </c>
      <c r="CD332" s="2" t="str">
        <f>HYPERLINK("https://patentscout.innography.com/share/LhT4DJDjn_nBAhXPrZ9QpA%3D%3D", "Innography Link")</f>
        <v>Innography Link</v>
      </c>
      <c r="CE332" s="2"/>
      <c r="CF332" s="2"/>
      <c r="CG332" s="2"/>
      <c r="CH332" s="2"/>
      <c r="CI332" s="2"/>
      <c r="CK332" s="2" t="s">
        <v>4840</v>
      </c>
      <c r="CL332" s="2" t="s">
        <v>7723</v>
      </c>
    </row>
    <row r="333" spans="1:95" ht="152" customHeight="1" x14ac:dyDescent="0.45">
      <c r="A333" s="2">
        <v>0</v>
      </c>
      <c r="B333" s="2">
        <v>0</v>
      </c>
      <c r="C333" s="2"/>
      <c r="D333" s="2"/>
      <c r="E333" s="2" t="s">
        <v>2280</v>
      </c>
      <c r="F333" s="2"/>
      <c r="G333" s="2" t="s">
        <v>2280</v>
      </c>
      <c r="H333" s="2" t="s">
        <v>7724</v>
      </c>
      <c r="I333" s="2" t="s">
        <v>1744</v>
      </c>
      <c r="J333" s="2" t="s">
        <v>7725</v>
      </c>
      <c r="K333" s="2" t="s">
        <v>2280</v>
      </c>
      <c r="L333" s="2" t="s">
        <v>2280</v>
      </c>
      <c r="M333" s="2" t="s">
        <v>7726</v>
      </c>
      <c r="N333" s="2" t="s">
        <v>7727</v>
      </c>
      <c r="O333" s="2"/>
      <c r="P333" s="2" t="s">
        <v>6973</v>
      </c>
      <c r="Q333" s="2" t="s">
        <v>6973</v>
      </c>
      <c r="R333" s="2" t="s">
        <v>6974</v>
      </c>
      <c r="S333" s="2" t="s">
        <v>6973</v>
      </c>
      <c r="T333" s="2">
        <v>73</v>
      </c>
      <c r="U333" s="2">
        <v>31</v>
      </c>
      <c r="V333" s="2" t="s">
        <v>7728</v>
      </c>
      <c r="W333" s="2"/>
      <c r="X333" s="2"/>
      <c r="Y333" s="2"/>
      <c r="Z333" s="2" t="s">
        <v>7729</v>
      </c>
      <c r="AA333" s="2" t="s">
        <v>7730</v>
      </c>
      <c r="AB333" s="2">
        <v>37</v>
      </c>
      <c r="AC333" s="2" t="s">
        <v>139</v>
      </c>
      <c r="AD333" s="2" t="s">
        <v>7426</v>
      </c>
      <c r="AE333" s="2">
        <v>88</v>
      </c>
      <c r="AF333" s="2" t="s">
        <v>141</v>
      </c>
      <c r="AG333" s="2" t="s">
        <v>4830</v>
      </c>
      <c r="AH333" s="2"/>
      <c r="AI333" s="2"/>
      <c r="AJ333" s="2"/>
      <c r="AK333" s="2" t="s">
        <v>619</v>
      </c>
      <c r="AL333" s="2" t="s">
        <v>7731</v>
      </c>
      <c r="AM333" s="2" t="s">
        <v>7732</v>
      </c>
      <c r="AN333" s="2" t="s">
        <v>7733</v>
      </c>
      <c r="AO333" s="2" t="s">
        <v>7734</v>
      </c>
      <c r="AP333" s="2">
        <v>706027000</v>
      </c>
      <c r="AQ333" s="2">
        <v>706027000</v>
      </c>
      <c r="AR333" s="2" t="s">
        <v>415</v>
      </c>
      <c r="AS333" s="2">
        <v>78790026</v>
      </c>
      <c r="AT333" s="2" t="s">
        <v>7735</v>
      </c>
      <c r="AU333" s="2"/>
      <c r="AV333" s="2"/>
      <c r="AW333" s="2" t="s">
        <v>624</v>
      </c>
      <c r="AX333" s="2">
        <v>88110479</v>
      </c>
      <c r="AY333" s="2" t="s">
        <v>7736</v>
      </c>
      <c r="AZ333" s="2" t="s">
        <v>7737</v>
      </c>
      <c r="BA333" s="2" t="s">
        <v>7738</v>
      </c>
      <c r="BB333" s="2">
        <v>0</v>
      </c>
      <c r="BC333" s="3" t="str">
        <f>HYPERLINK("https://patentscout.innography.com/share/hasrTp_P-0tAs76DptQeeQ%3D%3D","WO2022101515")</f>
        <v>WO2022101515</v>
      </c>
      <c r="BD333" s="2" t="s">
        <v>7739</v>
      </c>
      <c r="BE333" s="2" t="s">
        <v>6988</v>
      </c>
      <c r="BF333" s="2" t="s">
        <v>7740</v>
      </c>
      <c r="BG333" s="2" t="str">
        <f>HYPERLINK("https://patentscout.innography.com/share/hasrTp_P-0tAs76DptQeeQ%3D%3D/download", "Download PDF")</f>
        <v>Download PDF</v>
      </c>
      <c r="BH333" s="2" t="s">
        <v>7741</v>
      </c>
      <c r="BI333" s="2"/>
      <c r="BJ333" s="2" t="s">
        <v>7742</v>
      </c>
      <c r="BK333" s="2" t="s">
        <v>7743</v>
      </c>
      <c r="BL333" s="2" t="s">
        <v>7743</v>
      </c>
      <c r="BM333" s="2"/>
      <c r="BN333" s="2"/>
      <c r="BO333" s="2"/>
      <c r="BP333" s="2"/>
      <c r="BQ333" s="2"/>
      <c r="BR333" s="2"/>
      <c r="BS333" s="2"/>
      <c r="BT333" s="2"/>
      <c r="BU333" s="2"/>
      <c r="BV333" s="2"/>
      <c r="BW333" s="2"/>
      <c r="BX333" s="2"/>
      <c r="BY333" s="2"/>
      <c r="BZ333" s="2"/>
      <c r="CA333" s="2"/>
      <c r="CB333" s="2"/>
      <c r="CC333" s="2" t="s">
        <v>635</v>
      </c>
      <c r="CD333" s="2" t="str">
        <f>HYPERLINK("https://patentscout.innography.com/share/hasrTp_P-0tAs76DptQeeQ%3D%3D", "Innography Link")</f>
        <v>Innography Link</v>
      </c>
      <c r="CE333" s="2"/>
      <c r="CF333" s="2"/>
      <c r="CG333" s="2"/>
      <c r="CH333" s="2"/>
      <c r="CI333" s="2"/>
      <c r="CK333" s="2" t="s">
        <v>4840</v>
      </c>
      <c r="CL333" s="2" t="s">
        <v>7744</v>
      </c>
    </row>
    <row r="334" spans="1:95" ht="152" customHeight="1" x14ac:dyDescent="0.45">
      <c r="A334" s="2">
        <v>0</v>
      </c>
      <c r="B334" s="2">
        <v>3</v>
      </c>
      <c r="C334" s="2" t="s">
        <v>7745</v>
      </c>
      <c r="D334" s="2"/>
      <c r="E334" s="2" t="s">
        <v>2715</v>
      </c>
      <c r="F334" s="2"/>
      <c r="G334" s="2" t="s">
        <v>2715</v>
      </c>
      <c r="H334" s="2" t="s">
        <v>7746</v>
      </c>
      <c r="I334" s="2" t="s">
        <v>7746</v>
      </c>
      <c r="J334" s="2" t="s">
        <v>7747</v>
      </c>
      <c r="K334" s="2" t="s">
        <v>2715</v>
      </c>
      <c r="L334" s="2" t="s">
        <v>2715</v>
      </c>
      <c r="M334" s="2" t="s">
        <v>7748</v>
      </c>
      <c r="N334" s="2" t="s">
        <v>7749</v>
      </c>
      <c r="O334" s="2"/>
      <c r="P334" s="2" t="s">
        <v>7750</v>
      </c>
      <c r="Q334" s="2" t="s">
        <v>7751</v>
      </c>
      <c r="R334" s="2" t="s">
        <v>7751</v>
      </c>
      <c r="S334" s="2" t="s">
        <v>7750</v>
      </c>
      <c r="T334" s="2">
        <v>73</v>
      </c>
      <c r="U334" s="2">
        <v>2</v>
      </c>
      <c r="V334" s="2" t="s">
        <v>7752</v>
      </c>
      <c r="W334" s="2"/>
      <c r="X334" s="2"/>
      <c r="Y334" s="2"/>
      <c r="Z334" s="2" t="s">
        <v>7753</v>
      </c>
      <c r="AA334" s="2" t="s">
        <v>7754</v>
      </c>
      <c r="AB334" s="2">
        <v>4</v>
      </c>
      <c r="AC334" s="2" t="s">
        <v>214</v>
      </c>
      <c r="AD334" s="2" t="s">
        <v>7755</v>
      </c>
      <c r="AE334" s="2">
        <v>114</v>
      </c>
      <c r="AF334" s="2" t="s">
        <v>141</v>
      </c>
      <c r="AG334" s="2"/>
      <c r="AH334" s="2"/>
      <c r="AI334" s="2"/>
      <c r="AJ334" s="2"/>
      <c r="AK334" s="2" t="s">
        <v>217</v>
      </c>
      <c r="AL334" s="2" t="s">
        <v>7756</v>
      </c>
      <c r="AM334" s="2" t="s">
        <v>7757</v>
      </c>
      <c r="AN334" s="2" t="s">
        <v>7758</v>
      </c>
      <c r="AO334" s="2" t="s">
        <v>7759</v>
      </c>
      <c r="AP334" s="2">
        <v>370313000</v>
      </c>
      <c r="AQ334" s="2">
        <v>370313000</v>
      </c>
      <c r="AR334" s="2" t="s">
        <v>253</v>
      </c>
      <c r="AS334" s="2">
        <v>81806379</v>
      </c>
      <c r="AT334" s="2" t="s">
        <v>7760</v>
      </c>
      <c r="AU334" s="2"/>
      <c r="AV334" s="2"/>
      <c r="AW334" s="2" t="s">
        <v>219</v>
      </c>
      <c r="AX334" s="2">
        <v>88320132</v>
      </c>
      <c r="AY334" s="2" t="s">
        <v>7761</v>
      </c>
      <c r="AZ334" s="2" t="s">
        <v>7762</v>
      </c>
      <c r="BA334" s="2" t="s">
        <v>7763</v>
      </c>
      <c r="BB334" s="2">
        <v>0</v>
      </c>
      <c r="BC334" s="3" t="str">
        <f>HYPERLINK("https://patentscout.innography.com/share/fIVfo5IAI9Nq_4CxV-8uVg%3D%3D","KR20220066866")</f>
        <v>KR20220066866</v>
      </c>
      <c r="BD334" s="2" t="s">
        <v>7764</v>
      </c>
      <c r="BE334" s="2" t="s">
        <v>7765</v>
      </c>
      <c r="BF334" s="2" t="s">
        <v>7766</v>
      </c>
      <c r="BG334" s="2" t="str">
        <f>HYPERLINK("https://patentscout.innography.com/share/fIVfo5IAI9Nq_4CxV-8uVg%3D%3D/download", "Download PDF")</f>
        <v>Download PDF</v>
      </c>
      <c r="BH334" s="2" t="s">
        <v>7767</v>
      </c>
      <c r="BI334" s="2"/>
      <c r="BJ334" s="2" t="s">
        <v>7761</v>
      </c>
      <c r="BK334" s="2" t="s">
        <v>7761</v>
      </c>
      <c r="BL334" s="2" t="s">
        <v>7761</v>
      </c>
      <c r="BM334" s="2"/>
      <c r="BN334" s="2"/>
      <c r="BO334" s="2"/>
      <c r="BP334" s="2"/>
      <c r="BQ334" s="2"/>
      <c r="BR334" s="2"/>
      <c r="BS334" s="2"/>
      <c r="BT334" s="2"/>
      <c r="BU334" s="2"/>
      <c r="BV334" s="2"/>
      <c r="BW334" s="2"/>
      <c r="BX334" s="2"/>
      <c r="BY334" s="2"/>
      <c r="BZ334" s="2"/>
      <c r="CA334" s="2"/>
      <c r="CB334" s="2"/>
      <c r="CC334" s="2" t="s">
        <v>228</v>
      </c>
      <c r="CD334" s="2" t="str">
        <f>HYPERLINK("https://patentscout.innography.com/share/fIVfo5IAI9Nq_4CxV-8uVg%3D%3D", "Innography Link")</f>
        <v>Innography Link</v>
      </c>
      <c r="CE334" s="2"/>
      <c r="CF334" s="2"/>
      <c r="CG334" s="2"/>
      <c r="CH334" s="2"/>
      <c r="CI334" s="2"/>
      <c r="CK334" s="2" t="s">
        <v>7768</v>
      </c>
    </row>
    <row r="335" spans="1:95" ht="152" customHeight="1" x14ac:dyDescent="0.45">
      <c r="A335" s="2">
        <v>0</v>
      </c>
      <c r="B335" s="2">
        <v>4</v>
      </c>
      <c r="C335" s="2" t="s">
        <v>7769</v>
      </c>
      <c r="D335" s="2"/>
      <c r="E335" s="2"/>
      <c r="F335" s="2" t="s">
        <v>1222</v>
      </c>
      <c r="G335" s="2" t="s">
        <v>1222</v>
      </c>
      <c r="H335" s="2" t="s">
        <v>981</v>
      </c>
      <c r="I335" s="2" t="s">
        <v>981</v>
      </c>
      <c r="J335" s="2" t="s">
        <v>2437</v>
      </c>
      <c r="K335" s="2" t="s">
        <v>1222</v>
      </c>
      <c r="L335" s="2" t="s">
        <v>1222</v>
      </c>
      <c r="M335" s="2" t="s">
        <v>7770</v>
      </c>
      <c r="N335" s="2" t="s">
        <v>7771</v>
      </c>
      <c r="O335" s="2"/>
      <c r="P335" s="2" t="s">
        <v>2440</v>
      </c>
      <c r="Q335" s="2" t="s">
        <v>2440</v>
      </c>
      <c r="R335" s="2" t="s">
        <v>2441</v>
      </c>
      <c r="S335" s="2" t="s">
        <v>2440</v>
      </c>
      <c r="T335" s="2">
        <v>73</v>
      </c>
      <c r="U335" s="2">
        <v>5</v>
      </c>
      <c r="V335" s="2" t="s">
        <v>7772</v>
      </c>
      <c r="W335" s="2"/>
      <c r="X335" s="2"/>
      <c r="Y335" s="2"/>
      <c r="Z335" s="2" t="s">
        <v>7773</v>
      </c>
      <c r="AA335" s="2" t="s">
        <v>7774</v>
      </c>
      <c r="AB335" s="2">
        <v>8</v>
      </c>
      <c r="AC335" s="2" t="s">
        <v>235</v>
      </c>
      <c r="AD335" s="2" t="s">
        <v>2445</v>
      </c>
      <c r="AE335" s="2">
        <v>296</v>
      </c>
      <c r="AF335" s="2" t="s">
        <v>141</v>
      </c>
      <c r="AG335" s="2"/>
      <c r="AH335" s="2"/>
      <c r="AI335" s="2"/>
      <c r="AJ335" s="2"/>
      <c r="AK335" s="2" t="s">
        <v>217</v>
      </c>
      <c r="AL335" s="2" t="s">
        <v>1923</v>
      </c>
      <c r="AM335" s="2" t="s">
        <v>1923</v>
      </c>
      <c r="AN335" s="2" t="s">
        <v>1924</v>
      </c>
      <c r="AO335" s="2" t="s">
        <v>7775</v>
      </c>
      <c r="AP335" s="2">
        <v>345423000</v>
      </c>
      <c r="AQ335" s="2">
        <v>345423000</v>
      </c>
      <c r="AR335" s="2" t="s">
        <v>253</v>
      </c>
      <c r="AS335" s="2">
        <v>81809668</v>
      </c>
      <c r="AT335" s="2" t="s">
        <v>7776</v>
      </c>
      <c r="AU335" s="2"/>
      <c r="AV335" s="2"/>
      <c r="AW335" s="2" t="s">
        <v>336</v>
      </c>
      <c r="AX335" s="2">
        <v>88323823</v>
      </c>
      <c r="AY335" s="2" t="s">
        <v>7777</v>
      </c>
      <c r="AZ335" s="2" t="s">
        <v>7778</v>
      </c>
      <c r="BA335" s="2" t="s">
        <v>2450</v>
      </c>
      <c r="BB335" s="2">
        <v>0</v>
      </c>
      <c r="BC335" s="3" t="str">
        <f>HYPERLINK("https://patentscout.innography.com/share/Xds281cbneURAuIme2dR-g%3D%3D","KR102402643")</f>
        <v>KR102402643</v>
      </c>
      <c r="BD335" s="2" t="s">
        <v>7779</v>
      </c>
      <c r="BE335" s="2" t="s">
        <v>7780</v>
      </c>
      <c r="BF335" s="2" t="s">
        <v>7781</v>
      </c>
      <c r="BG335" s="2" t="str">
        <f>HYPERLINK("https://patentscout.innography.com/share/Xds281cbneURAuIme2dR-g%3D%3D/download", "Download PDF")</f>
        <v>Download PDF</v>
      </c>
      <c r="BH335" s="2" t="s">
        <v>7782</v>
      </c>
      <c r="BI335" s="2"/>
      <c r="BJ335" s="2" t="s">
        <v>7783</v>
      </c>
      <c r="BK335" s="2" t="s">
        <v>7783</v>
      </c>
      <c r="BL335" s="2" t="s">
        <v>7783</v>
      </c>
      <c r="BM335" s="2"/>
      <c r="BN335" s="2"/>
      <c r="BO335" s="2"/>
      <c r="BP335" s="2"/>
      <c r="BQ335" s="2"/>
      <c r="BR335" s="2"/>
      <c r="BS335" s="2"/>
      <c r="BT335" s="2"/>
      <c r="BU335" s="2"/>
      <c r="BV335" s="2"/>
      <c r="BW335" s="2"/>
      <c r="BX335" s="2"/>
      <c r="BY335" s="2"/>
      <c r="BZ335" s="2"/>
      <c r="CA335" s="2"/>
      <c r="CB335" s="2"/>
      <c r="CC335" s="2" t="s">
        <v>243</v>
      </c>
      <c r="CD335" s="2" t="str">
        <f>HYPERLINK("https://patentscout.innography.com/share/Xds281cbneURAuIme2dR-g%3D%3D", "Innography Link")</f>
        <v>Innography Link</v>
      </c>
      <c r="CE335" s="2"/>
      <c r="CF335" s="2"/>
      <c r="CG335" s="2"/>
      <c r="CH335" s="2"/>
      <c r="CI335" s="2"/>
      <c r="CK335" s="2" t="s">
        <v>7784</v>
      </c>
      <c r="CL335" s="2" t="s">
        <v>444</v>
      </c>
      <c r="CM335" s="2" t="s">
        <v>371</v>
      </c>
      <c r="CN335" s="2" t="s">
        <v>497</v>
      </c>
      <c r="CO335" s="2" t="s">
        <v>601</v>
      </c>
      <c r="CP335" s="2" t="s">
        <v>854</v>
      </c>
      <c r="CQ335" s="2" t="s">
        <v>602</v>
      </c>
    </row>
    <row r="336" spans="1:95" ht="152" customHeight="1" x14ac:dyDescent="0.45">
      <c r="A336" s="2">
        <v>0</v>
      </c>
      <c r="B336" s="2">
        <v>0</v>
      </c>
      <c r="C336" s="2"/>
      <c r="D336" s="2"/>
      <c r="E336" s="2" t="s">
        <v>2768</v>
      </c>
      <c r="F336" s="2"/>
      <c r="G336" s="2" t="s">
        <v>2768</v>
      </c>
      <c r="H336" s="2" t="s">
        <v>1719</v>
      </c>
      <c r="I336" s="2" t="s">
        <v>1719</v>
      </c>
      <c r="J336" s="2" t="s">
        <v>7785</v>
      </c>
      <c r="K336" s="2" t="s">
        <v>2768</v>
      </c>
      <c r="L336" s="2" t="s">
        <v>2768</v>
      </c>
      <c r="M336" s="2" t="s">
        <v>7786</v>
      </c>
      <c r="N336" s="2" t="s">
        <v>7787</v>
      </c>
      <c r="O336" s="2"/>
      <c r="P336" s="2" t="s">
        <v>7788</v>
      </c>
      <c r="Q336" s="2" t="s">
        <v>7788</v>
      </c>
      <c r="R336" s="2" t="s">
        <v>7789</v>
      </c>
      <c r="S336" s="2" t="s">
        <v>7788</v>
      </c>
      <c r="T336" s="2">
        <v>73</v>
      </c>
      <c r="U336" s="2">
        <v>7</v>
      </c>
      <c r="V336" s="2" t="s">
        <v>7790</v>
      </c>
      <c r="W336" s="2"/>
      <c r="X336" s="2"/>
      <c r="Y336" s="2"/>
      <c r="Z336" s="2" t="s">
        <v>7791</v>
      </c>
      <c r="AA336" s="2" t="s">
        <v>7792</v>
      </c>
      <c r="AB336" s="2">
        <v>10</v>
      </c>
      <c r="AC336" s="2" t="s">
        <v>214</v>
      </c>
      <c r="AD336" s="2" t="s">
        <v>7793</v>
      </c>
      <c r="AE336" s="2">
        <v>61</v>
      </c>
      <c r="AF336" s="2" t="s">
        <v>141</v>
      </c>
      <c r="AG336" s="2"/>
      <c r="AH336" s="2"/>
      <c r="AI336" s="2"/>
      <c r="AJ336" s="2"/>
      <c r="AK336" s="2" t="s">
        <v>1816</v>
      </c>
      <c r="AL336" s="2" t="s">
        <v>7794</v>
      </c>
      <c r="AM336" s="2" t="s">
        <v>7795</v>
      </c>
      <c r="AN336" s="2" t="s">
        <v>7796</v>
      </c>
      <c r="AO336" s="2" t="s">
        <v>7797</v>
      </c>
      <c r="AP336" s="2">
        <v>477004000</v>
      </c>
      <c r="AQ336" s="2">
        <v>477004000</v>
      </c>
      <c r="AR336" s="2" t="s">
        <v>253</v>
      </c>
      <c r="AS336" s="2">
        <v>81950997</v>
      </c>
      <c r="AT336" s="2" t="s">
        <v>7798</v>
      </c>
      <c r="AU336" s="2"/>
      <c r="AV336" s="2"/>
      <c r="AW336" s="2" t="s">
        <v>7799</v>
      </c>
      <c r="AX336" s="2">
        <v>90142853</v>
      </c>
      <c r="AY336" s="2" t="s">
        <v>7800</v>
      </c>
      <c r="AZ336" s="2" t="s">
        <v>7801</v>
      </c>
      <c r="BA336" s="2" t="s">
        <v>7802</v>
      </c>
      <c r="BB336" s="2">
        <v>0</v>
      </c>
      <c r="BC336" s="3" t="str">
        <f>HYPERLINK("https://patentscout.innography.com/share/88ozpUKw3fiBdaYY8bA4Tw%3D%3D","CN114633746")</f>
        <v>CN114633746</v>
      </c>
      <c r="BD336" s="2" t="s">
        <v>7803</v>
      </c>
      <c r="BE336" s="2" t="s">
        <v>7804</v>
      </c>
      <c r="BF336" s="2" t="s">
        <v>7805</v>
      </c>
      <c r="BG336" s="2" t="str">
        <f>HYPERLINK("https://patentscout.innography.com/share/88ozpUKw3fiBdaYY8bA4Tw%3D%3D/download", "Download PDF")</f>
        <v>Download PDF</v>
      </c>
      <c r="BH336" s="2" t="s">
        <v>7806</v>
      </c>
      <c r="BI336" s="2"/>
      <c r="BJ336" s="2" t="s">
        <v>7800</v>
      </c>
      <c r="BK336" s="2" t="s">
        <v>7800</v>
      </c>
      <c r="BL336" s="2" t="s">
        <v>7800</v>
      </c>
      <c r="BM336" s="2"/>
      <c r="BN336" s="2"/>
      <c r="BO336" s="2"/>
      <c r="BP336" s="2"/>
      <c r="BQ336" s="2"/>
      <c r="BR336" s="2"/>
      <c r="BS336" s="2"/>
      <c r="BT336" s="2"/>
      <c r="BU336" s="2"/>
      <c r="BV336" s="2"/>
      <c r="BW336" s="2"/>
      <c r="BX336" s="2"/>
      <c r="BY336" s="2"/>
      <c r="BZ336" s="2"/>
      <c r="CA336" s="2"/>
      <c r="CB336" s="2"/>
      <c r="CC336" s="2" t="s">
        <v>1829</v>
      </c>
      <c r="CD336" s="2" t="str">
        <f>HYPERLINK("https://patentscout.innography.com/share/88ozpUKw3fiBdaYY8bA4Tw%3D%3D", "Innography Link")</f>
        <v>Innography Link</v>
      </c>
      <c r="CE336" s="2"/>
      <c r="CF336" s="2"/>
      <c r="CG336" s="2"/>
      <c r="CH336" s="2"/>
      <c r="CI336" s="2"/>
      <c r="CK336" s="2" t="s">
        <v>7807</v>
      </c>
    </row>
    <row r="337" spans="1:98" ht="152" customHeight="1" x14ac:dyDescent="0.45">
      <c r="A337" s="2">
        <v>0</v>
      </c>
      <c r="B337" s="2">
        <v>0</v>
      </c>
      <c r="C337" s="2"/>
      <c r="D337" s="2"/>
      <c r="E337" s="2" t="s">
        <v>3344</v>
      </c>
      <c r="F337" s="2"/>
      <c r="G337" s="2" t="s">
        <v>3344</v>
      </c>
      <c r="H337" s="2" t="s">
        <v>7808</v>
      </c>
      <c r="I337" s="2" t="s">
        <v>6524</v>
      </c>
      <c r="J337" s="2" t="s">
        <v>6525</v>
      </c>
      <c r="K337" s="2" t="s">
        <v>3344</v>
      </c>
      <c r="L337" s="2" t="s">
        <v>3344</v>
      </c>
      <c r="M337" s="2" t="s">
        <v>7809</v>
      </c>
      <c r="N337" s="2" t="s">
        <v>7810</v>
      </c>
      <c r="O337" s="2"/>
      <c r="P337" s="2" t="s">
        <v>7811</v>
      </c>
      <c r="Q337" s="2" t="s">
        <v>7811</v>
      </c>
      <c r="R337" s="2" t="s">
        <v>7811</v>
      </c>
      <c r="S337" s="2" t="s">
        <v>7811</v>
      </c>
      <c r="T337" s="2">
        <v>73</v>
      </c>
      <c r="U337" s="2">
        <v>16</v>
      </c>
      <c r="V337" s="2" t="s">
        <v>7812</v>
      </c>
      <c r="W337" s="2" t="s">
        <v>533</v>
      </c>
      <c r="X337" s="2"/>
      <c r="Y337" s="2"/>
      <c r="Z337" s="2" t="s">
        <v>7813</v>
      </c>
      <c r="AA337" s="2" t="s">
        <v>7814</v>
      </c>
      <c r="AB337" s="2">
        <v>20</v>
      </c>
      <c r="AC337" s="2" t="s">
        <v>139</v>
      </c>
      <c r="AD337" s="2" t="s">
        <v>7815</v>
      </c>
      <c r="AE337" s="2">
        <v>114</v>
      </c>
      <c r="AF337" s="2" t="s">
        <v>141</v>
      </c>
      <c r="AG337" s="2"/>
      <c r="AH337" s="2"/>
      <c r="AI337" s="2"/>
      <c r="AJ337" s="2"/>
      <c r="AK337" s="2" t="s">
        <v>142</v>
      </c>
      <c r="AL337" s="2" t="s">
        <v>7816</v>
      </c>
      <c r="AM337" s="2" t="s">
        <v>7817</v>
      </c>
      <c r="AN337" s="2" t="s">
        <v>1755</v>
      </c>
      <c r="AO337" s="2" t="s">
        <v>1755</v>
      </c>
      <c r="AP337" s="2"/>
      <c r="AQ337" s="2"/>
      <c r="AR337" s="2" t="s">
        <v>541</v>
      </c>
      <c r="AS337" s="2">
        <v>82800461</v>
      </c>
      <c r="AT337" s="2" t="s">
        <v>7818</v>
      </c>
      <c r="AU337" s="2"/>
      <c r="AV337" s="2"/>
      <c r="AW337" s="2" t="s">
        <v>303</v>
      </c>
      <c r="AX337" s="2">
        <v>89993903</v>
      </c>
      <c r="AY337" s="2" t="s">
        <v>7819</v>
      </c>
      <c r="AZ337" s="2" t="s">
        <v>7820</v>
      </c>
      <c r="BA337" s="2" t="s">
        <v>6538</v>
      </c>
      <c r="BB337" s="2">
        <v>0</v>
      </c>
      <c r="BC337" s="3" t="str">
        <f>HYPERLINK("https://patentscout.innography.com/share/DJsSxnLVgcCAkMdJkRNvKQ%3D%3D","US20220262518")</f>
        <v>US20220262518</v>
      </c>
      <c r="BD337" s="2" t="s">
        <v>7821</v>
      </c>
      <c r="BE337" s="2" t="s">
        <v>7822</v>
      </c>
      <c r="BF337" s="2" t="s">
        <v>7823</v>
      </c>
      <c r="BG337" s="2" t="str">
        <f>HYPERLINK("https://patentscout.innography.com/share/DJsSxnLVgcCAkMdJkRNvKQ%3D%3D/download", "Download PDF")</f>
        <v>Download PDF</v>
      </c>
      <c r="BH337" s="2" t="s">
        <v>7824</v>
      </c>
      <c r="BI337" s="2"/>
      <c r="BJ337" s="2" t="s">
        <v>7825</v>
      </c>
      <c r="BK337" s="2" t="s">
        <v>7826</v>
      </c>
      <c r="BL337" s="2" t="s">
        <v>7826</v>
      </c>
      <c r="BM337" s="2"/>
      <c r="BN337" s="2"/>
      <c r="BO337" s="2"/>
      <c r="BP337" s="2"/>
      <c r="BQ337" s="2"/>
      <c r="BR337" s="2"/>
      <c r="BS337" s="2"/>
      <c r="BT337" s="2"/>
      <c r="BU337" s="2"/>
      <c r="BV337" s="2"/>
      <c r="BW337" s="2"/>
      <c r="BX337" s="2"/>
      <c r="BY337" s="2"/>
      <c r="BZ337" s="2"/>
      <c r="CA337" s="2"/>
      <c r="CB337" s="2"/>
      <c r="CC337" s="2" t="s">
        <v>158</v>
      </c>
      <c r="CD337" s="2" t="str">
        <f>HYPERLINK("https://patentscout.innography.com/share/DJsSxnLVgcCAkMdJkRNvKQ%3D%3D", "Innography Link")</f>
        <v>Innography Link</v>
      </c>
      <c r="CE337" s="2"/>
      <c r="CF337" s="2"/>
      <c r="CG337" s="2"/>
      <c r="CH337" s="2"/>
      <c r="CI337" s="2"/>
      <c r="CK337" s="2" t="s">
        <v>7827</v>
      </c>
      <c r="CL337" s="2" t="s">
        <v>7828</v>
      </c>
      <c r="CM337" s="2" t="s">
        <v>7829</v>
      </c>
    </row>
    <row r="338" spans="1:98" ht="152" customHeight="1" x14ac:dyDescent="0.45">
      <c r="A338" s="2">
        <v>0</v>
      </c>
      <c r="B338" s="2">
        <v>4</v>
      </c>
      <c r="C338" s="2" t="s">
        <v>7830</v>
      </c>
      <c r="D338" s="2"/>
      <c r="E338" s="2"/>
      <c r="F338" s="2" t="s">
        <v>2794</v>
      </c>
      <c r="G338" s="2" t="s">
        <v>2794</v>
      </c>
      <c r="H338" s="2" t="s">
        <v>1744</v>
      </c>
      <c r="I338" s="2" t="s">
        <v>1744</v>
      </c>
      <c r="J338" s="2" t="s">
        <v>1745</v>
      </c>
      <c r="K338" s="2" t="s">
        <v>2794</v>
      </c>
      <c r="L338" s="2" t="s">
        <v>2794</v>
      </c>
      <c r="M338" s="2" t="s">
        <v>7831</v>
      </c>
      <c r="N338" s="2" t="s">
        <v>7832</v>
      </c>
      <c r="O338" s="2"/>
      <c r="P338" s="2" t="s">
        <v>7833</v>
      </c>
      <c r="Q338" s="2"/>
      <c r="R338" s="2"/>
      <c r="S338" s="2" t="s">
        <v>7833</v>
      </c>
      <c r="T338" s="2">
        <v>73</v>
      </c>
      <c r="U338" s="2">
        <v>6</v>
      </c>
      <c r="V338" s="2" t="s">
        <v>7834</v>
      </c>
      <c r="W338" s="2"/>
      <c r="X338" s="2"/>
      <c r="Y338" s="2"/>
      <c r="Z338" s="2" t="s">
        <v>7835</v>
      </c>
      <c r="AA338" s="2" t="s">
        <v>7836</v>
      </c>
      <c r="AB338" s="2">
        <v>10</v>
      </c>
      <c r="AC338" s="2" t="s">
        <v>235</v>
      </c>
      <c r="AD338" s="2" t="s">
        <v>7833</v>
      </c>
      <c r="AE338" s="2">
        <v>525</v>
      </c>
      <c r="AF338" s="2" t="s">
        <v>141</v>
      </c>
      <c r="AG338" s="2"/>
      <c r="AH338" s="2"/>
      <c r="AI338" s="2"/>
      <c r="AJ338" s="2"/>
      <c r="AK338" s="2" t="s">
        <v>217</v>
      </c>
      <c r="AL338" s="2" t="s">
        <v>298</v>
      </c>
      <c r="AM338" s="2" t="s">
        <v>298</v>
      </c>
      <c r="AN338" s="2" t="s">
        <v>359</v>
      </c>
      <c r="AO338" s="2" t="s">
        <v>7837</v>
      </c>
      <c r="AP338" s="2">
        <v>705348000</v>
      </c>
      <c r="AQ338" s="2">
        <v>705348000</v>
      </c>
      <c r="AR338" s="2" t="s">
        <v>253</v>
      </c>
      <c r="AS338" s="2">
        <v>82803897</v>
      </c>
      <c r="AT338" s="2" t="s">
        <v>7838</v>
      </c>
      <c r="AU338" s="2"/>
      <c r="AV338" s="2"/>
      <c r="AW338" s="2" t="s">
        <v>336</v>
      </c>
      <c r="AX338" s="2">
        <v>90039446</v>
      </c>
      <c r="AY338" s="2" t="s">
        <v>7839</v>
      </c>
      <c r="AZ338" s="2" t="s">
        <v>7840</v>
      </c>
      <c r="BA338" s="2" t="s">
        <v>1760</v>
      </c>
      <c r="BB338" s="2">
        <v>0</v>
      </c>
      <c r="BC338" s="3" t="str">
        <f>HYPERLINK("https://patentscout.innography.com/share/Su0hpMZL6JRTlipmEzYOAw%3D%3D","KR102432158")</f>
        <v>KR102432158</v>
      </c>
      <c r="BD338" s="2" t="s">
        <v>7841</v>
      </c>
      <c r="BE338" s="2" t="s">
        <v>7842</v>
      </c>
      <c r="BF338" s="2" t="s">
        <v>7843</v>
      </c>
      <c r="BG338" s="2" t="str">
        <f>HYPERLINK("https://patentscout.innography.com/share/Su0hpMZL6JRTlipmEzYOAw%3D%3D/download", "Download PDF")</f>
        <v>Download PDF</v>
      </c>
      <c r="BH338" s="2" t="s">
        <v>7844</v>
      </c>
      <c r="BI338" s="2"/>
      <c r="BJ338" s="2" t="s">
        <v>7845</v>
      </c>
      <c r="BK338" s="2" t="s">
        <v>7845</v>
      </c>
      <c r="BL338" s="2" t="s">
        <v>7845</v>
      </c>
      <c r="BM338" s="2"/>
      <c r="BN338" s="2"/>
      <c r="BO338" s="2"/>
      <c r="BP338" s="2"/>
      <c r="BQ338" s="2"/>
      <c r="BR338" s="2"/>
      <c r="BS338" s="2"/>
      <c r="BT338" s="2"/>
      <c r="BU338" s="2"/>
      <c r="BV338" s="2"/>
      <c r="BW338" s="2"/>
      <c r="BX338" s="2"/>
      <c r="BY338" s="2"/>
      <c r="BZ338" s="2"/>
      <c r="CA338" s="2"/>
      <c r="CB338" s="2"/>
      <c r="CC338" s="2" t="s">
        <v>243</v>
      </c>
      <c r="CD338" s="2" t="str">
        <f>HYPERLINK("https://patentscout.innography.com/share/Su0hpMZL6JRTlipmEzYOAw%3D%3D", "Innography Link")</f>
        <v>Innography Link</v>
      </c>
      <c r="CE338" s="2"/>
      <c r="CF338" s="2"/>
      <c r="CG338" s="2"/>
      <c r="CH338" s="2"/>
      <c r="CI338" s="2"/>
      <c r="CK338" s="2" t="s">
        <v>7846</v>
      </c>
      <c r="CL338" s="2" t="s">
        <v>780</v>
      </c>
      <c r="CM338" s="2" t="s">
        <v>444</v>
      </c>
      <c r="CN338" s="2" t="s">
        <v>371</v>
      </c>
      <c r="CO338" s="2" t="s">
        <v>497</v>
      </c>
      <c r="CP338" s="2" t="s">
        <v>601</v>
      </c>
      <c r="CQ338" s="2" t="s">
        <v>854</v>
      </c>
      <c r="CR338" s="2" t="s">
        <v>602</v>
      </c>
      <c r="CS338" s="2" t="s">
        <v>372</v>
      </c>
      <c r="CT338" s="2" t="s">
        <v>782</v>
      </c>
    </row>
    <row r="339" spans="1:98" ht="152" customHeight="1" x14ac:dyDescent="0.45">
      <c r="A339" s="2">
        <v>0</v>
      </c>
      <c r="B339" s="2">
        <v>0</v>
      </c>
      <c r="C339" s="2"/>
      <c r="D339" s="2"/>
      <c r="E339" s="2" t="s">
        <v>2697</v>
      </c>
      <c r="F339" s="2"/>
      <c r="G339" s="2" t="s">
        <v>2697</v>
      </c>
      <c r="H339" s="2" t="s">
        <v>7847</v>
      </c>
      <c r="I339" s="2" t="s">
        <v>7847</v>
      </c>
      <c r="J339" s="2" t="s">
        <v>7848</v>
      </c>
      <c r="K339" s="2" t="s">
        <v>2697</v>
      </c>
      <c r="L339" s="2" t="s">
        <v>2697</v>
      </c>
      <c r="M339" s="2" t="s">
        <v>7849</v>
      </c>
      <c r="N339" s="2" t="s">
        <v>7850</v>
      </c>
      <c r="O339" s="2"/>
      <c r="P339" s="2" t="s">
        <v>7851</v>
      </c>
      <c r="Q339" s="2" t="s">
        <v>7851</v>
      </c>
      <c r="R339" s="2" t="s">
        <v>7852</v>
      </c>
      <c r="S339" s="2" t="s">
        <v>7851</v>
      </c>
      <c r="T339" s="2">
        <v>73</v>
      </c>
      <c r="U339" s="2">
        <v>6</v>
      </c>
      <c r="V339" s="2" t="s">
        <v>7853</v>
      </c>
      <c r="W339" s="2"/>
      <c r="X339" s="2"/>
      <c r="Y339" s="2"/>
      <c r="Z339" s="2" t="s">
        <v>7854</v>
      </c>
      <c r="AA339" s="2" t="s">
        <v>7855</v>
      </c>
      <c r="AB339" s="2">
        <v>8</v>
      </c>
      <c r="AC339" s="2" t="s">
        <v>214</v>
      </c>
      <c r="AD339" s="2" t="s">
        <v>7856</v>
      </c>
      <c r="AE339" s="2">
        <v>43</v>
      </c>
      <c r="AF339" s="2" t="s">
        <v>141</v>
      </c>
      <c r="AG339" s="2"/>
      <c r="AH339" s="2"/>
      <c r="AI339" s="2"/>
      <c r="AJ339" s="2"/>
      <c r="AK339" s="2" t="s">
        <v>1816</v>
      </c>
      <c r="AL339" s="2" t="s">
        <v>7857</v>
      </c>
      <c r="AM339" s="2" t="s">
        <v>7858</v>
      </c>
      <c r="AN339" s="2" t="s">
        <v>4643</v>
      </c>
      <c r="AO339" s="2" t="s">
        <v>7859</v>
      </c>
      <c r="AP339" s="2">
        <v>713340000</v>
      </c>
      <c r="AQ339" s="2">
        <v>713340000</v>
      </c>
      <c r="AR339" s="2" t="s">
        <v>253</v>
      </c>
      <c r="AS339" s="2">
        <v>82960611</v>
      </c>
      <c r="AT339" s="2" t="s">
        <v>7860</v>
      </c>
      <c r="AU339" s="2"/>
      <c r="AV339" s="2"/>
      <c r="AW339" s="2" t="s">
        <v>1821</v>
      </c>
      <c r="AX339" s="2">
        <v>89790663</v>
      </c>
      <c r="AY339" s="2" t="s">
        <v>7861</v>
      </c>
      <c r="AZ339" s="2" t="s">
        <v>7862</v>
      </c>
      <c r="BA339" s="2" t="s">
        <v>7863</v>
      </c>
      <c r="BB339" s="2">
        <v>0</v>
      </c>
      <c r="BC339" s="3" t="str">
        <f>HYPERLINK("https://patentscout.innography.com/share/RZZE41zGAmBiGIH2n2PwNw%3D%3D","CN114969696")</f>
        <v>CN114969696</v>
      </c>
      <c r="BD339" s="2" t="s">
        <v>7864</v>
      </c>
      <c r="BE339" s="2" t="s">
        <v>3450</v>
      </c>
      <c r="BF339" s="2" t="s">
        <v>7865</v>
      </c>
      <c r="BG339" s="2" t="str">
        <f>HYPERLINK("https://patentscout.innography.com/share/RZZE41zGAmBiGIH2n2PwNw%3D%3D/download", "Download PDF")</f>
        <v>Download PDF</v>
      </c>
      <c r="BH339" s="2" t="s">
        <v>7866</v>
      </c>
      <c r="BI339" s="2"/>
      <c r="BJ339" s="2" t="s">
        <v>7861</v>
      </c>
      <c r="BK339" s="2" t="s">
        <v>7861</v>
      </c>
      <c r="BL339" s="2" t="s">
        <v>7861</v>
      </c>
      <c r="BM339" s="2"/>
      <c r="BN339" s="2"/>
      <c r="BO339" s="2"/>
      <c r="BP339" s="2"/>
      <c r="BQ339" s="2"/>
      <c r="BR339" s="2"/>
      <c r="BS339" s="2"/>
      <c r="BT339" s="2"/>
      <c r="BU339" s="2"/>
      <c r="BV339" s="2"/>
      <c r="BW339" s="2"/>
      <c r="BX339" s="2"/>
      <c r="BY339" s="2"/>
      <c r="BZ339" s="2"/>
      <c r="CA339" s="2"/>
      <c r="CB339" s="2"/>
      <c r="CC339" s="2" t="s">
        <v>1829</v>
      </c>
      <c r="CD339" s="2" t="str">
        <f>HYPERLINK("https://patentscout.innography.com/share/RZZE41zGAmBiGIH2n2PwNw%3D%3D", "Innography Link")</f>
        <v>Innography Link</v>
      </c>
      <c r="CE339" s="2"/>
      <c r="CF339" s="2"/>
      <c r="CG339" s="2"/>
      <c r="CH339" s="2"/>
      <c r="CI339" s="2"/>
      <c r="CK339" s="2" t="s">
        <v>7867</v>
      </c>
      <c r="CL339" s="2" t="s">
        <v>7868</v>
      </c>
    </row>
    <row r="340" spans="1:98" ht="152" customHeight="1" x14ac:dyDescent="0.45">
      <c r="A340" s="2">
        <v>0</v>
      </c>
      <c r="B340" s="2">
        <v>0</v>
      </c>
      <c r="C340" s="2"/>
      <c r="D340" s="2"/>
      <c r="E340" s="2" t="s">
        <v>5576</v>
      </c>
      <c r="F340" s="2"/>
      <c r="G340" s="2" t="s">
        <v>5576</v>
      </c>
      <c r="H340" s="2" t="s">
        <v>1052</v>
      </c>
      <c r="I340" s="2" t="s">
        <v>1052</v>
      </c>
      <c r="J340" s="2" t="s">
        <v>7869</v>
      </c>
      <c r="K340" s="2" t="s">
        <v>5576</v>
      </c>
      <c r="L340" s="2" t="s">
        <v>5576</v>
      </c>
      <c r="M340" s="2" t="s">
        <v>7870</v>
      </c>
      <c r="N340" s="2" t="s">
        <v>7871</v>
      </c>
      <c r="O340" s="2"/>
      <c r="P340" s="2" t="s">
        <v>7872</v>
      </c>
      <c r="Q340" s="2" t="s">
        <v>7872</v>
      </c>
      <c r="R340" s="2" t="s">
        <v>7873</v>
      </c>
      <c r="S340" s="2" t="s">
        <v>7872</v>
      </c>
      <c r="T340" s="2">
        <v>73</v>
      </c>
      <c r="U340" s="2">
        <v>7</v>
      </c>
      <c r="V340" s="2" t="s">
        <v>7874</v>
      </c>
      <c r="W340" s="2"/>
      <c r="X340" s="2"/>
      <c r="Y340" s="2"/>
      <c r="Z340" s="2" t="s">
        <v>7875</v>
      </c>
      <c r="AA340" s="2" t="s">
        <v>7876</v>
      </c>
      <c r="AB340" s="2">
        <v>10</v>
      </c>
      <c r="AC340" s="2" t="s">
        <v>214</v>
      </c>
      <c r="AD340" s="2" t="s">
        <v>7877</v>
      </c>
      <c r="AE340" s="2">
        <v>120</v>
      </c>
      <c r="AF340" s="2" t="s">
        <v>141</v>
      </c>
      <c r="AG340" s="2"/>
      <c r="AH340" s="2"/>
      <c r="AI340" s="2"/>
      <c r="AJ340" s="2"/>
      <c r="AK340" s="2" t="s">
        <v>1816</v>
      </c>
      <c r="AL340" s="2"/>
      <c r="AM340" s="2"/>
      <c r="AN340" s="2" t="s">
        <v>7878</v>
      </c>
      <c r="AO340" s="2" t="s">
        <v>7878</v>
      </c>
      <c r="AP340" s="2">
        <v>264001230</v>
      </c>
      <c r="AQ340" s="2">
        <v>264001230</v>
      </c>
      <c r="AR340" s="2" t="s">
        <v>253</v>
      </c>
      <c r="AS340" s="2">
        <v>83080062</v>
      </c>
      <c r="AT340" s="2" t="s">
        <v>7879</v>
      </c>
      <c r="AU340" s="2"/>
      <c r="AV340" s="2"/>
      <c r="AW340" s="2" t="s">
        <v>3517</v>
      </c>
      <c r="AX340" s="2">
        <v>89907896</v>
      </c>
      <c r="AY340" s="2" t="s">
        <v>7880</v>
      </c>
      <c r="AZ340" s="2" t="s">
        <v>7881</v>
      </c>
      <c r="BA340" s="2" t="s">
        <v>7882</v>
      </c>
      <c r="BB340" s="2">
        <v>0</v>
      </c>
      <c r="BC340" s="3" t="str">
        <f>HYPERLINK("https://patentscout.innography.com/share/3dTYYUtRoue8OaDT69GtDQ%3D%3D","CN115016139")</f>
        <v>CN115016139</v>
      </c>
      <c r="BD340" s="2" t="s">
        <v>7883</v>
      </c>
      <c r="BE340" s="2" t="s">
        <v>7884</v>
      </c>
      <c r="BF340" s="2" t="s">
        <v>7885</v>
      </c>
      <c r="BG340" s="2" t="str">
        <f>HYPERLINK("https://patentscout.innography.com/share/3dTYYUtRoue8OaDT69GtDQ%3D%3D/download", "Download PDF")</f>
        <v>Download PDF</v>
      </c>
      <c r="BH340" s="2" t="s">
        <v>7886</v>
      </c>
      <c r="BI340" s="2"/>
      <c r="BJ340" s="2" t="s">
        <v>7880</v>
      </c>
      <c r="BK340" s="2" t="s">
        <v>7880</v>
      </c>
      <c r="BL340" s="2" t="s">
        <v>7880</v>
      </c>
      <c r="BM340" s="2"/>
      <c r="BN340" s="2"/>
      <c r="BO340" s="2"/>
      <c r="BP340" s="2"/>
      <c r="BQ340" s="2"/>
      <c r="BR340" s="2"/>
      <c r="BS340" s="2"/>
      <c r="BT340" s="2"/>
      <c r="BU340" s="2"/>
      <c r="BV340" s="2"/>
      <c r="BW340" s="2"/>
      <c r="BX340" s="2"/>
      <c r="BY340" s="2"/>
      <c r="BZ340" s="2"/>
      <c r="CA340" s="2"/>
      <c r="CB340" s="2"/>
      <c r="CC340" s="2" t="s">
        <v>1829</v>
      </c>
      <c r="CD340" s="2" t="str">
        <f>HYPERLINK("https://patentscout.innography.com/share/3dTYYUtRoue8OaDT69GtDQ%3D%3D", "Innography Link")</f>
        <v>Innography Link</v>
      </c>
      <c r="CE340" s="2"/>
      <c r="CF340" s="2"/>
      <c r="CG340" s="2"/>
      <c r="CH340" s="2"/>
      <c r="CI340" s="2"/>
      <c r="CK340" s="2" t="s">
        <v>7887</v>
      </c>
      <c r="CL340" s="2" t="s">
        <v>7888</v>
      </c>
    </row>
    <row r="341" spans="1:98" ht="152" customHeight="1" x14ac:dyDescent="0.45">
      <c r="A341" s="2">
        <v>0</v>
      </c>
      <c r="B341" s="2">
        <v>15</v>
      </c>
      <c r="C341" s="2" t="s">
        <v>7889</v>
      </c>
      <c r="D341" s="2"/>
      <c r="E341" s="2" t="s">
        <v>1026</v>
      </c>
      <c r="F341" s="2" t="s">
        <v>2416</v>
      </c>
      <c r="G341" s="2" t="s">
        <v>2416</v>
      </c>
      <c r="H341" s="2" t="s">
        <v>7418</v>
      </c>
      <c r="I341" s="2" t="s">
        <v>2327</v>
      </c>
      <c r="J341" s="2" t="s">
        <v>2328</v>
      </c>
      <c r="K341" s="2" t="s">
        <v>1026</v>
      </c>
      <c r="L341" s="2" t="s">
        <v>1026</v>
      </c>
      <c r="M341" s="2" t="s">
        <v>7419</v>
      </c>
      <c r="N341" s="2" t="s">
        <v>7420</v>
      </c>
      <c r="O341" s="2" t="s">
        <v>7890</v>
      </c>
      <c r="P341" s="2" t="s">
        <v>6973</v>
      </c>
      <c r="Q341" s="2" t="s">
        <v>6973</v>
      </c>
      <c r="R341" s="2" t="s">
        <v>6974</v>
      </c>
      <c r="S341" s="2" t="s">
        <v>6973</v>
      </c>
      <c r="T341" s="2">
        <v>73</v>
      </c>
      <c r="U341" s="2">
        <v>39</v>
      </c>
      <c r="V341" s="2" t="s">
        <v>7422</v>
      </c>
      <c r="W341" s="2" t="s">
        <v>7423</v>
      </c>
      <c r="X341" s="2">
        <v>3715</v>
      </c>
      <c r="Y341" s="2" t="s">
        <v>3955</v>
      </c>
      <c r="Z341" s="2" t="s">
        <v>7891</v>
      </c>
      <c r="AA341" s="2" t="s">
        <v>7892</v>
      </c>
      <c r="AB341" s="2">
        <v>30</v>
      </c>
      <c r="AC341" s="2" t="s">
        <v>250</v>
      </c>
      <c r="AD341" s="2" t="s">
        <v>7426</v>
      </c>
      <c r="AE341" s="2">
        <v>228</v>
      </c>
      <c r="AF341" s="2" t="s">
        <v>141</v>
      </c>
      <c r="AG341" s="2"/>
      <c r="AH341" s="2"/>
      <c r="AI341" s="2" t="s">
        <v>7438</v>
      </c>
      <c r="AJ341" s="2"/>
      <c r="AK341" s="2" t="s">
        <v>142</v>
      </c>
      <c r="AL341" s="2" t="s">
        <v>3898</v>
      </c>
      <c r="AM341" s="2" t="s">
        <v>7428</v>
      </c>
      <c r="AN341" s="2" t="s">
        <v>2846</v>
      </c>
      <c r="AO341" s="2" t="s">
        <v>7893</v>
      </c>
      <c r="AP341" s="2">
        <v>348124000</v>
      </c>
      <c r="AQ341" s="2">
        <v>348124000</v>
      </c>
      <c r="AR341" s="2" t="s">
        <v>415</v>
      </c>
      <c r="AS341" s="2">
        <v>78770613</v>
      </c>
      <c r="AT341" s="2" t="s">
        <v>7430</v>
      </c>
      <c r="AU341" s="2"/>
      <c r="AV341" s="2"/>
      <c r="AW341" s="2" t="s">
        <v>254</v>
      </c>
      <c r="AX341" s="2">
        <v>90873968</v>
      </c>
      <c r="AY341" s="2" t="s">
        <v>7431</v>
      </c>
      <c r="AZ341" s="2" t="s">
        <v>7432</v>
      </c>
      <c r="BA341" s="2" t="s">
        <v>2343</v>
      </c>
      <c r="BB341" s="2">
        <v>0</v>
      </c>
      <c r="BC341" s="3" t="str">
        <f>HYPERLINK("https://patentscout.innography.com/share/KRj0e0hk-n3rLs8v_Z-AmA%3D%3D","US11455576")</f>
        <v>US11455576</v>
      </c>
      <c r="BD341" s="2" t="s">
        <v>7894</v>
      </c>
      <c r="BE341" s="2" t="s">
        <v>7435</v>
      </c>
      <c r="BF341" s="2" t="s">
        <v>7895</v>
      </c>
      <c r="BG341" s="2" t="str">
        <f>HYPERLINK("https://patentscout.innography.com/share/KRj0e0hk-n3rLs8v_Z-AmA%3D%3D/download", "Download PDF")</f>
        <v>Download PDF</v>
      </c>
      <c r="BH341" s="2" t="s">
        <v>7896</v>
      </c>
      <c r="BI341" s="2"/>
      <c r="BJ341" s="2" t="s">
        <v>7438</v>
      </c>
      <c r="BK341" s="2" t="s">
        <v>7438</v>
      </c>
      <c r="BL341" s="2" t="s">
        <v>7438</v>
      </c>
      <c r="BM341" s="2"/>
      <c r="BN341" s="2"/>
      <c r="BO341" s="2"/>
      <c r="BP341" s="2"/>
      <c r="BQ341" s="2"/>
      <c r="BR341" s="2"/>
      <c r="BS341" s="2"/>
      <c r="BT341" s="2"/>
      <c r="BU341" s="2"/>
      <c r="BV341" s="2"/>
      <c r="BW341" s="2"/>
      <c r="BX341" s="2"/>
      <c r="BY341" s="2"/>
      <c r="BZ341" s="2"/>
      <c r="CA341" s="2"/>
      <c r="CB341" s="2"/>
      <c r="CC341" s="2" t="s">
        <v>259</v>
      </c>
      <c r="CD341" s="2" t="str">
        <f>HYPERLINK("https://patentscout.innography.com/share/KRj0e0hk-n3rLs8v_Z-AmA%3D%3D", "Innography Link")</f>
        <v>Innography Link</v>
      </c>
      <c r="CE341" s="2"/>
      <c r="CF341" s="2"/>
      <c r="CG341" s="2"/>
      <c r="CH341" s="2"/>
      <c r="CI341" s="2"/>
      <c r="CK341" s="2" t="s">
        <v>7897</v>
      </c>
    </row>
    <row r="342" spans="1:98" ht="152" customHeight="1" x14ac:dyDescent="0.45">
      <c r="A342" s="2">
        <v>0</v>
      </c>
      <c r="B342" s="2">
        <v>0</v>
      </c>
      <c r="C342" s="2"/>
      <c r="D342" s="2"/>
      <c r="E342" s="2" t="s">
        <v>2280</v>
      </c>
      <c r="F342" s="2" t="s">
        <v>7695</v>
      </c>
      <c r="G342" s="2" t="s">
        <v>7695</v>
      </c>
      <c r="H342" s="2" t="s">
        <v>6969</v>
      </c>
      <c r="I342" s="2" t="s">
        <v>2327</v>
      </c>
      <c r="J342" s="2" t="s">
        <v>2328</v>
      </c>
      <c r="K342" s="2" t="s">
        <v>2280</v>
      </c>
      <c r="L342" s="2" t="s">
        <v>2280</v>
      </c>
      <c r="M342" s="2" t="s">
        <v>7696</v>
      </c>
      <c r="N342" s="2" t="s">
        <v>7898</v>
      </c>
      <c r="O342" s="2"/>
      <c r="P342" s="2" t="s">
        <v>6973</v>
      </c>
      <c r="Q342" s="2" t="s">
        <v>6973</v>
      </c>
      <c r="R342" s="2" t="s">
        <v>6974</v>
      </c>
      <c r="S342" s="2" t="s">
        <v>6973</v>
      </c>
      <c r="T342" s="2">
        <v>73</v>
      </c>
      <c r="U342" s="2">
        <v>31</v>
      </c>
      <c r="V342" s="2" t="s">
        <v>7697</v>
      </c>
      <c r="W342" s="2" t="s">
        <v>7698</v>
      </c>
      <c r="X342" s="2">
        <v>2124</v>
      </c>
      <c r="Y342" s="2"/>
      <c r="Z342" s="2" t="s">
        <v>7899</v>
      </c>
      <c r="AA342" s="2" t="s">
        <v>7900</v>
      </c>
      <c r="AB342" s="2">
        <v>30</v>
      </c>
      <c r="AC342" s="2" t="s">
        <v>250</v>
      </c>
      <c r="AD342" s="2" t="s">
        <v>6978</v>
      </c>
      <c r="AE342" s="2">
        <v>284</v>
      </c>
      <c r="AF342" s="2" t="s">
        <v>141</v>
      </c>
      <c r="AG342" s="2"/>
      <c r="AH342" s="2"/>
      <c r="AI342" s="2" t="s">
        <v>6992</v>
      </c>
      <c r="AJ342" s="2"/>
      <c r="AK342" s="2" t="s">
        <v>142</v>
      </c>
      <c r="AL342" s="2" t="s">
        <v>6979</v>
      </c>
      <c r="AM342" s="2" t="s">
        <v>6980</v>
      </c>
      <c r="AN342" s="2" t="s">
        <v>6509</v>
      </c>
      <c r="AO342" s="2" t="s">
        <v>7702</v>
      </c>
      <c r="AP342" s="2">
        <v>706060000</v>
      </c>
      <c r="AQ342" s="2">
        <v>706060000</v>
      </c>
      <c r="AR342" s="2" t="s">
        <v>415</v>
      </c>
      <c r="AS342" s="2">
        <v>78770606</v>
      </c>
      <c r="AT342" s="2" t="s">
        <v>6983</v>
      </c>
      <c r="AU342" s="2"/>
      <c r="AV342" s="2"/>
      <c r="AW342" s="2" t="s">
        <v>254</v>
      </c>
      <c r="AX342" s="2">
        <v>91303475</v>
      </c>
      <c r="AY342" s="2" t="s">
        <v>6984</v>
      </c>
      <c r="AZ342" s="2" t="s">
        <v>7703</v>
      </c>
      <c r="BA342" s="2" t="s">
        <v>2343</v>
      </c>
      <c r="BB342" s="2">
        <v>0</v>
      </c>
      <c r="BC342" s="3" t="str">
        <f>HYPERLINK("https://patentscout.innography.com/share/zP8-NaBu7qYo5YLF_oYzKw%3D%3D","US11468350")</f>
        <v>US11468350</v>
      </c>
      <c r="BD342" s="2" t="s">
        <v>7901</v>
      </c>
      <c r="BE342" s="2" t="s">
        <v>7706</v>
      </c>
      <c r="BF342" s="2" t="s">
        <v>7902</v>
      </c>
      <c r="BG342" s="2" t="str">
        <f>HYPERLINK("https://patentscout.innography.com/share/zP8-NaBu7qYo5YLF_oYzKw%3D%3D/download", "Download PDF")</f>
        <v>Download PDF</v>
      </c>
      <c r="BH342" s="2" t="s">
        <v>7903</v>
      </c>
      <c r="BI342" s="2"/>
      <c r="BJ342" s="2" t="s">
        <v>6992</v>
      </c>
      <c r="BK342" s="2" t="s">
        <v>6992</v>
      </c>
      <c r="BL342" s="2" t="s">
        <v>6992</v>
      </c>
      <c r="BM342" s="2"/>
      <c r="BN342" s="2"/>
      <c r="BO342" s="2"/>
      <c r="BP342" s="2"/>
      <c r="BQ342" s="2"/>
      <c r="BR342" s="2"/>
      <c r="BS342" s="2"/>
      <c r="BT342" s="2"/>
      <c r="BU342" s="2"/>
      <c r="BV342" s="2"/>
      <c r="BW342" s="2"/>
      <c r="BX342" s="2"/>
      <c r="BY342" s="2"/>
      <c r="BZ342" s="2"/>
      <c r="CA342" s="2"/>
      <c r="CB342" s="2"/>
      <c r="CC342" s="2" t="s">
        <v>259</v>
      </c>
      <c r="CD342" s="2" t="str">
        <f>HYPERLINK("https://patentscout.innography.com/share/zP8-NaBu7qYo5YLF_oYzKw%3D%3D", "Innography Link")</f>
        <v>Innography Link</v>
      </c>
      <c r="CE342" s="2"/>
      <c r="CF342" s="2"/>
      <c r="CG342" s="2"/>
      <c r="CH342" s="2"/>
      <c r="CI342" s="2"/>
      <c r="CK342" s="2" t="s">
        <v>7904</v>
      </c>
      <c r="CL342" s="2" t="s">
        <v>7905</v>
      </c>
    </row>
    <row r="343" spans="1:98" ht="152" customHeight="1" x14ac:dyDescent="0.45">
      <c r="A343" s="2">
        <v>0</v>
      </c>
      <c r="B343" s="2">
        <v>4</v>
      </c>
      <c r="C343" s="2" t="s">
        <v>7906</v>
      </c>
      <c r="D343" s="2"/>
      <c r="E343" s="2" t="s">
        <v>125</v>
      </c>
      <c r="F343" s="2"/>
      <c r="G343" s="2" t="s">
        <v>125</v>
      </c>
      <c r="H343" s="2" t="s">
        <v>7907</v>
      </c>
      <c r="I343" s="2" t="s">
        <v>7908</v>
      </c>
      <c r="J343" s="2" t="s">
        <v>7909</v>
      </c>
      <c r="K343" s="2" t="s">
        <v>125</v>
      </c>
      <c r="L343" s="2" t="s">
        <v>125</v>
      </c>
      <c r="M343" s="2" t="s">
        <v>7910</v>
      </c>
      <c r="N343" s="2" t="s">
        <v>7911</v>
      </c>
      <c r="O343" s="2"/>
      <c r="P343" s="2" t="s">
        <v>7912</v>
      </c>
      <c r="Q343" s="2"/>
      <c r="R343" s="2"/>
      <c r="S343" s="2" t="s">
        <v>7912</v>
      </c>
      <c r="T343" s="2">
        <v>73</v>
      </c>
      <c r="U343" s="2">
        <v>8</v>
      </c>
      <c r="V343" s="2" t="s">
        <v>7913</v>
      </c>
      <c r="W343" s="2"/>
      <c r="X343" s="2"/>
      <c r="Y343" s="2"/>
      <c r="Z343" s="2" t="s">
        <v>7914</v>
      </c>
      <c r="AA343" s="2" t="s">
        <v>7915</v>
      </c>
      <c r="AB343" s="2">
        <v>16</v>
      </c>
      <c r="AC343" s="2" t="s">
        <v>139</v>
      </c>
      <c r="AD343" s="2" t="s">
        <v>7912</v>
      </c>
      <c r="AE343" s="2">
        <v>187</v>
      </c>
      <c r="AF343" s="2" t="s">
        <v>141</v>
      </c>
      <c r="AG343" s="2" t="s">
        <v>6558</v>
      </c>
      <c r="AH343" s="2"/>
      <c r="AI343" s="2"/>
      <c r="AJ343" s="2"/>
      <c r="AK343" s="2" t="s">
        <v>619</v>
      </c>
      <c r="AL343" s="2" t="s">
        <v>7916</v>
      </c>
      <c r="AM343" s="2" t="s">
        <v>7917</v>
      </c>
      <c r="AN343" s="2" t="s">
        <v>7346</v>
      </c>
      <c r="AO343" s="2" t="s">
        <v>7346</v>
      </c>
      <c r="AP343" s="2">
        <v>235386000</v>
      </c>
      <c r="AQ343" s="2">
        <v>235386000</v>
      </c>
      <c r="AR343" s="2" t="s">
        <v>253</v>
      </c>
      <c r="AS343" s="2">
        <v>83546644</v>
      </c>
      <c r="AT343" s="2" t="s">
        <v>7918</v>
      </c>
      <c r="AU343" s="2"/>
      <c r="AV343" s="2"/>
      <c r="AW343" s="2" t="s">
        <v>624</v>
      </c>
      <c r="AX343" s="2">
        <v>91459517</v>
      </c>
      <c r="AY343" s="2" t="s">
        <v>7919</v>
      </c>
      <c r="AZ343" s="2" t="s">
        <v>7920</v>
      </c>
      <c r="BA343" s="2" t="s">
        <v>7921</v>
      </c>
      <c r="BB343" s="2">
        <v>0</v>
      </c>
      <c r="BC343" s="3" t="str">
        <f>HYPERLINK("https://patentscout.innography.com/share/7qGPE1GLQRs6IJR9rWa2Aw%3D%3D","WO2022217261")</f>
        <v>WO2022217261</v>
      </c>
      <c r="BD343" s="2" t="s">
        <v>7922</v>
      </c>
      <c r="BE343" s="2" t="s">
        <v>7923</v>
      </c>
      <c r="BF343" s="2" t="s">
        <v>7924</v>
      </c>
      <c r="BG343" s="2" t="str">
        <f>HYPERLINK("https://patentscout.innography.com/share/7qGPE1GLQRs6IJR9rWa2Aw%3D%3D/download", "Download PDF")</f>
        <v>Download PDF</v>
      </c>
      <c r="BH343" s="2" t="s">
        <v>7925</v>
      </c>
      <c r="BI343" s="2"/>
      <c r="BJ343" s="2" t="s">
        <v>7919</v>
      </c>
      <c r="BK343" s="2" t="s">
        <v>7919</v>
      </c>
      <c r="BL343" s="2" t="s">
        <v>7919</v>
      </c>
      <c r="BM343" s="2"/>
      <c r="BN343" s="2"/>
      <c r="BO343" s="2"/>
      <c r="BP343" s="2"/>
      <c r="BQ343" s="2"/>
      <c r="BR343" s="2"/>
      <c r="BS343" s="2"/>
      <c r="BT343" s="2"/>
      <c r="BU343" s="2" t="s">
        <v>7926</v>
      </c>
      <c r="BV343" s="2"/>
      <c r="BW343" s="2"/>
      <c r="BX343" s="2"/>
      <c r="BY343" s="2"/>
      <c r="BZ343" s="2"/>
      <c r="CA343" s="2"/>
      <c r="CB343" s="2"/>
      <c r="CC343" s="2" t="s">
        <v>635</v>
      </c>
      <c r="CD343" s="2" t="str">
        <f>HYPERLINK("https://patentscout.innography.com/share/7qGPE1GLQRs6IJR9rWa2Aw%3D%3D", "Innography Link")</f>
        <v>Innography Link</v>
      </c>
      <c r="CE343" s="2"/>
      <c r="CF343" s="2"/>
      <c r="CG343" s="2"/>
      <c r="CH343" s="2"/>
      <c r="CI343" s="2"/>
      <c r="CK343" s="2" t="s">
        <v>7927</v>
      </c>
      <c r="CL343" s="2" t="s">
        <v>7928</v>
      </c>
      <c r="CM343" s="2" t="s">
        <v>7929</v>
      </c>
    </row>
    <row r="344" spans="1:98" ht="152" customHeight="1" x14ac:dyDescent="0.45">
      <c r="A344" s="2">
        <v>0</v>
      </c>
      <c r="B344" s="2">
        <v>0</v>
      </c>
      <c r="C344" s="2"/>
      <c r="D344" s="2"/>
      <c r="E344" s="2" t="s">
        <v>7930</v>
      </c>
      <c r="F344" s="2"/>
      <c r="G344" s="2" t="s">
        <v>7930</v>
      </c>
      <c r="H344" s="2" t="s">
        <v>3993</v>
      </c>
      <c r="I344" s="2" t="s">
        <v>3993</v>
      </c>
      <c r="J344" s="2" t="s">
        <v>7931</v>
      </c>
      <c r="K344" s="2" t="s">
        <v>7930</v>
      </c>
      <c r="L344" s="2" t="s">
        <v>7930</v>
      </c>
      <c r="M344" s="2" t="s">
        <v>7932</v>
      </c>
      <c r="N344" s="2" t="s">
        <v>7933</v>
      </c>
      <c r="O344" s="2"/>
      <c r="P344" s="2" t="s">
        <v>7934</v>
      </c>
      <c r="Q344" s="2" t="s">
        <v>7934</v>
      </c>
      <c r="R344" s="2" t="s">
        <v>7935</v>
      </c>
      <c r="S344" s="2" t="s">
        <v>7934</v>
      </c>
      <c r="T344" s="2">
        <v>73</v>
      </c>
      <c r="U344" s="2">
        <v>7</v>
      </c>
      <c r="V344" s="2" t="s">
        <v>7936</v>
      </c>
      <c r="W344" s="2"/>
      <c r="X344" s="2"/>
      <c r="Y344" s="2"/>
      <c r="Z344" s="2" t="s">
        <v>7937</v>
      </c>
      <c r="AA344" s="2" t="s">
        <v>7938</v>
      </c>
      <c r="AB344" s="2">
        <v>10</v>
      </c>
      <c r="AC344" s="2" t="s">
        <v>214</v>
      </c>
      <c r="AD344" s="2" t="s">
        <v>7939</v>
      </c>
      <c r="AE344" s="2">
        <v>144</v>
      </c>
      <c r="AF344" s="2" t="s">
        <v>141</v>
      </c>
      <c r="AG344" s="2"/>
      <c r="AH344" s="2"/>
      <c r="AI344" s="2"/>
      <c r="AJ344" s="2"/>
      <c r="AK344" s="2" t="s">
        <v>1816</v>
      </c>
      <c r="AL344" s="2" t="s">
        <v>7940</v>
      </c>
      <c r="AM344" s="2" t="s">
        <v>7940</v>
      </c>
      <c r="AN344" s="2" t="s">
        <v>7941</v>
      </c>
      <c r="AO344" s="2" t="s">
        <v>7942</v>
      </c>
      <c r="AP344" s="2" t="s">
        <v>7943</v>
      </c>
      <c r="AQ344" s="2" t="s">
        <v>7943</v>
      </c>
      <c r="AR344" s="2" t="s">
        <v>253</v>
      </c>
      <c r="AS344" s="2">
        <v>83517418</v>
      </c>
      <c r="AT344" s="2" t="s">
        <v>7944</v>
      </c>
      <c r="AU344" s="2"/>
      <c r="AV344" s="2"/>
      <c r="AW344" s="2" t="s">
        <v>1821</v>
      </c>
      <c r="AX344" s="2">
        <v>91502799</v>
      </c>
      <c r="AY344" s="2" t="s">
        <v>7945</v>
      </c>
      <c r="AZ344" s="2" t="s">
        <v>7946</v>
      </c>
      <c r="BA344" s="2" t="s">
        <v>7947</v>
      </c>
      <c r="BB344" s="2">
        <v>0</v>
      </c>
      <c r="BC344" s="3" t="str">
        <f>HYPERLINK("https://patentscout.innography.com/share/QSRn4qUINq2X9KLtqIS17A%3D%3D","CN115183806")</f>
        <v>CN115183806</v>
      </c>
      <c r="BD344" s="2" t="s">
        <v>7948</v>
      </c>
      <c r="BE344" s="2" t="s">
        <v>7949</v>
      </c>
      <c r="BF344" s="2" t="s">
        <v>7950</v>
      </c>
      <c r="BG344" s="2" t="str">
        <f>HYPERLINK("https://patentscout.innography.com/share/QSRn4qUINq2X9KLtqIS17A%3D%3D/download", "Download PDF")</f>
        <v>Download PDF</v>
      </c>
      <c r="BH344" s="2" t="s">
        <v>7951</v>
      </c>
      <c r="BI344" s="2"/>
      <c r="BJ344" s="2" t="s">
        <v>7945</v>
      </c>
      <c r="BK344" s="2" t="s">
        <v>7945</v>
      </c>
      <c r="BL344" s="2" t="s">
        <v>7945</v>
      </c>
      <c r="BM344" s="2"/>
      <c r="BN344" s="2"/>
      <c r="BO344" s="2"/>
      <c r="BP344" s="2"/>
      <c r="BQ344" s="2"/>
      <c r="BR344" s="2"/>
      <c r="BS344" s="2"/>
      <c r="BT344" s="2"/>
      <c r="BU344" s="2"/>
      <c r="BV344" s="2"/>
      <c r="BW344" s="2"/>
      <c r="BX344" s="2"/>
      <c r="BY344" s="2"/>
      <c r="BZ344" s="2"/>
      <c r="CA344" s="2"/>
      <c r="CB344" s="2"/>
      <c r="CC344" s="2" t="s">
        <v>1829</v>
      </c>
      <c r="CD344" s="2" t="str">
        <f>HYPERLINK("https://patentscout.innography.com/share/QSRn4qUINq2X9KLtqIS17A%3D%3D", "Innography Link")</f>
        <v>Innography Link</v>
      </c>
      <c r="CE344" s="2"/>
      <c r="CF344" s="2"/>
      <c r="CG344" s="2"/>
      <c r="CH344" s="2"/>
      <c r="CI344" s="2"/>
      <c r="CK344" s="2" t="s">
        <v>7952</v>
      </c>
    </row>
    <row r="345" spans="1:98" ht="152" customHeight="1" x14ac:dyDescent="0.45">
      <c r="A345" s="2">
        <v>0</v>
      </c>
      <c r="B345" s="2">
        <v>0</v>
      </c>
      <c r="C345" s="2"/>
      <c r="D345" s="2"/>
      <c r="E345" s="2" t="s">
        <v>7953</v>
      </c>
      <c r="F345" s="2"/>
      <c r="G345" s="2" t="s">
        <v>7953</v>
      </c>
      <c r="H345" s="2" t="s">
        <v>7954</v>
      </c>
      <c r="I345" s="2" t="s">
        <v>7955</v>
      </c>
      <c r="J345" s="2" t="s">
        <v>7956</v>
      </c>
      <c r="K345" s="2" t="s">
        <v>7953</v>
      </c>
      <c r="L345" s="2" t="s">
        <v>2416</v>
      </c>
      <c r="M345" s="2" t="s">
        <v>7957</v>
      </c>
      <c r="N345" s="2" t="s">
        <v>7958</v>
      </c>
      <c r="O345" s="2"/>
      <c r="P345" s="2" t="s">
        <v>7463</v>
      </c>
      <c r="Q345" s="2" t="s">
        <v>7463</v>
      </c>
      <c r="R345" s="2" t="s">
        <v>7463</v>
      </c>
      <c r="S345" s="2" t="s">
        <v>7463</v>
      </c>
      <c r="T345" s="2">
        <v>73</v>
      </c>
      <c r="U345" s="2">
        <v>31</v>
      </c>
      <c r="V345" s="2" t="s">
        <v>7959</v>
      </c>
      <c r="W345" s="2" t="s">
        <v>533</v>
      </c>
      <c r="X345" s="2"/>
      <c r="Y345" s="2"/>
      <c r="Z345" s="2" t="s">
        <v>7960</v>
      </c>
      <c r="AA345" s="2" t="s">
        <v>7961</v>
      </c>
      <c r="AB345" s="2">
        <v>59</v>
      </c>
      <c r="AC345" s="2" t="s">
        <v>139</v>
      </c>
      <c r="AD345" s="2" t="s">
        <v>7962</v>
      </c>
      <c r="AE345" s="2">
        <v>64</v>
      </c>
      <c r="AF345" s="2" t="s">
        <v>141</v>
      </c>
      <c r="AG345" s="2"/>
      <c r="AH345" s="2"/>
      <c r="AI345" s="2"/>
      <c r="AJ345" s="2"/>
      <c r="AK345" s="2" t="s">
        <v>142</v>
      </c>
      <c r="AL345" s="2" t="s">
        <v>7963</v>
      </c>
      <c r="AM345" s="2" t="s">
        <v>7964</v>
      </c>
      <c r="AN345" s="2" t="s">
        <v>7965</v>
      </c>
      <c r="AO345" s="2" t="s">
        <v>7966</v>
      </c>
      <c r="AP345" s="2">
        <v>600183000</v>
      </c>
      <c r="AQ345" s="2">
        <v>600183000</v>
      </c>
      <c r="AR345" s="2" t="s">
        <v>415</v>
      </c>
      <c r="AS345" s="2">
        <v>81749384</v>
      </c>
      <c r="AT345" s="2" t="s">
        <v>7967</v>
      </c>
      <c r="AU345" s="2"/>
      <c r="AV345" s="2"/>
      <c r="AW345" s="2" t="s">
        <v>4081</v>
      </c>
      <c r="AX345" s="2">
        <v>91074438</v>
      </c>
      <c r="AY345" s="2" t="s">
        <v>7968</v>
      </c>
      <c r="AZ345" s="2" t="s">
        <v>7969</v>
      </c>
      <c r="BA345" s="2" t="s">
        <v>7970</v>
      </c>
      <c r="BB345" s="2">
        <v>0</v>
      </c>
      <c r="BC345" s="3" t="str">
        <f>HYPERLINK("https://patentscout.innography.com/share/xZQCaoeY4bq9E0Ce2vhe0w%3D%3D","US20220330861")</f>
        <v>US20220330861</v>
      </c>
      <c r="BD345" s="2" t="s">
        <v>7971</v>
      </c>
      <c r="BE345" s="2" t="s">
        <v>7972</v>
      </c>
      <c r="BF345" s="2" t="s">
        <v>7973</v>
      </c>
      <c r="BG345" s="2" t="str">
        <f>HYPERLINK("https://patentscout.innography.com/share/xZQCaoeY4bq9E0Ce2vhe0w%3D%3D/download", "Download PDF")</f>
        <v>Download PDF</v>
      </c>
      <c r="BH345" s="2" t="s">
        <v>7974</v>
      </c>
      <c r="BI345" s="2"/>
      <c r="BJ345" s="2" t="s">
        <v>7975</v>
      </c>
      <c r="BK345" s="2" t="s">
        <v>7975</v>
      </c>
      <c r="BL345" s="2" t="s">
        <v>7976</v>
      </c>
      <c r="BM345" s="2"/>
      <c r="BN345" s="2"/>
      <c r="BO345" s="2"/>
      <c r="BP345" s="2"/>
      <c r="BQ345" s="2"/>
      <c r="BR345" s="2"/>
      <c r="BS345" s="2"/>
      <c r="BT345" s="2"/>
      <c r="BU345" s="2"/>
      <c r="BV345" s="2"/>
      <c r="BW345" s="2"/>
      <c r="BX345" s="2"/>
      <c r="BY345" s="2"/>
      <c r="BZ345" s="2"/>
      <c r="CA345" s="2"/>
      <c r="CB345" s="2"/>
      <c r="CC345" s="2" t="s">
        <v>158</v>
      </c>
      <c r="CD345" s="2" t="str">
        <f>HYPERLINK("https://patentscout.innography.com/share/xZQCaoeY4bq9E0Ce2vhe0w%3D%3D", "Innography Link")</f>
        <v>Innography Link</v>
      </c>
      <c r="CE345" s="2"/>
      <c r="CF345" s="2"/>
      <c r="CG345" s="2"/>
      <c r="CH345" s="2"/>
      <c r="CI345" s="2"/>
      <c r="CK345" s="2" t="s">
        <v>7977</v>
      </c>
      <c r="CL345" s="2" t="s">
        <v>7978</v>
      </c>
      <c r="CM345" s="2" t="s">
        <v>7979</v>
      </c>
      <c r="CN345" s="2" t="s">
        <v>7980</v>
      </c>
    </row>
    <row r="346" spans="1:98" ht="152" customHeight="1" x14ac:dyDescent="0.45">
      <c r="A346" s="2">
        <v>0</v>
      </c>
      <c r="B346" s="2">
        <v>11</v>
      </c>
      <c r="C346" s="2" t="s">
        <v>7981</v>
      </c>
      <c r="D346" s="2"/>
      <c r="E346" s="2" t="s">
        <v>7953</v>
      </c>
      <c r="F346" s="2"/>
      <c r="G346" s="2" t="s">
        <v>7953</v>
      </c>
      <c r="H346" s="2" t="s">
        <v>7954</v>
      </c>
      <c r="I346" s="2" t="s">
        <v>7955</v>
      </c>
      <c r="J346" s="2" t="s">
        <v>7982</v>
      </c>
      <c r="K346" s="2" t="s">
        <v>7953</v>
      </c>
      <c r="L346" s="2" t="s">
        <v>2416</v>
      </c>
      <c r="M346" s="2" t="s">
        <v>7957</v>
      </c>
      <c r="N346" s="2" t="s">
        <v>7958</v>
      </c>
      <c r="O346" s="2"/>
      <c r="P346" s="2" t="s">
        <v>7463</v>
      </c>
      <c r="Q346" s="2" t="s">
        <v>7463</v>
      </c>
      <c r="R346" s="2" t="s">
        <v>7463</v>
      </c>
      <c r="S346" s="2" t="s">
        <v>7463</v>
      </c>
      <c r="T346" s="2">
        <v>73</v>
      </c>
      <c r="U346" s="2">
        <v>34</v>
      </c>
      <c r="V346" s="2" t="s">
        <v>7983</v>
      </c>
      <c r="W346" s="2"/>
      <c r="X346" s="2"/>
      <c r="Y346" s="2"/>
      <c r="Z346" s="2" t="s">
        <v>7984</v>
      </c>
      <c r="AA346" s="2" t="s">
        <v>7985</v>
      </c>
      <c r="AB346" s="2">
        <v>59</v>
      </c>
      <c r="AC346" s="2" t="s">
        <v>139</v>
      </c>
      <c r="AD346" s="2" t="s">
        <v>7962</v>
      </c>
      <c r="AE346" s="2">
        <v>68</v>
      </c>
      <c r="AF346" s="2" t="s">
        <v>141</v>
      </c>
      <c r="AG346" s="2" t="s">
        <v>6558</v>
      </c>
      <c r="AH346" s="2"/>
      <c r="AI346" s="2"/>
      <c r="AJ346" s="2"/>
      <c r="AK346" s="2" t="s">
        <v>619</v>
      </c>
      <c r="AL346" s="2" t="s">
        <v>7963</v>
      </c>
      <c r="AM346" s="2" t="s">
        <v>7964</v>
      </c>
      <c r="AN346" s="2" t="s">
        <v>7471</v>
      </c>
      <c r="AO346" s="2" t="s">
        <v>7986</v>
      </c>
      <c r="AP346" s="2" t="s">
        <v>7473</v>
      </c>
      <c r="AQ346" s="2" t="s">
        <v>7473</v>
      </c>
      <c r="AR346" s="2" t="s">
        <v>415</v>
      </c>
      <c r="AS346" s="2">
        <v>81749384</v>
      </c>
      <c r="AT346" s="2" t="s">
        <v>7967</v>
      </c>
      <c r="AU346" s="2"/>
      <c r="AV346" s="2"/>
      <c r="AW346" s="2" t="s">
        <v>6753</v>
      </c>
      <c r="AX346" s="2">
        <v>91074438</v>
      </c>
      <c r="AY346" s="2" t="s">
        <v>7968</v>
      </c>
      <c r="AZ346" s="2" t="s">
        <v>7987</v>
      </c>
      <c r="BA346" s="2" t="s">
        <v>7988</v>
      </c>
      <c r="BB346" s="2">
        <v>0</v>
      </c>
      <c r="BC346" s="3" t="str">
        <f>HYPERLINK("https://patentscout.innography.com/share/tNePi-weDiyvYaW6WW-6bQ%3D%3D","WO2022221403")</f>
        <v>WO2022221403</v>
      </c>
      <c r="BD346" s="2" t="s">
        <v>7989</v>
      </c>
      <c r="BE346" s="2" t="s">
        <v>7990</v>
      </c>
      <c r="BF346" s="2" t="s">
        <v>7991</v>
      </c>
      <c r="BG346" s="2" t="str">
        <f>HYPERLINK("https://patentscout.innography.com/share/tNePi-weDiyvYaW6WW-6bQ%3D%3D/download", "Download PDF")</f>
        <v>Download PDF</v>
      </c>
      <c r="BH346" s="2" t="s">
        <v>7992</v>
      </c>
      <c r="BI346" s="2"/>
      <c r="BJ346" s="2" t="s">
        <v>7993</v>
      </c>
      <c r="BK346" s="2" t="s">
        <v>7975</v>
      </c>
      <c r="BL346" s="2" t="s">
        <v>7976</v>
      </c>
      <c r="BM346" s="2"/>
      <c r="BN346" s="2"/>
      <c r="BO346" s="2"/>
      <c r="BP346" s="2"/>
      <c r="BQ346" s="2"/>
      <c r="BR346" s="2"/>
      <c r="BS346" s="2"/>
      <c r="BT346" s="2"/>
      <c r="BU346" s="2" t="s">
        <v>7994</v>
      </c>
      <c r="BV346" s="2"/>
      <c r="BW346" s="2"/>
      <c r="BX346" s="2"/>
      <c r="BY346" s="2"/>
      <c r="BZ346" s="2"/>
      <c r="CA346" s="2"/>
      <c r="CB346" s="2"/>
      <c r="CC346" s="2" t="s">
        <v>635</v>
      </c>
      <c r="CD346" s="2" t="str">
        <f>HYPERLINK("https://patentscout.innography.com/share/tNePi-weDiyvYaW6WW-6bQ%3D%3D", "Innography Link")</f>
        <v>Innography Link</v>
      </c>
      <c r="CE346" s="2"/>
      <c r="CF346" s="2"/>
      <c r="CG346" s="2"/>
      <c r="CH346" s="2"/>
      <c r="CI346" s="2"/>
      <c r="CK346" s="2" t="s">
        <v>7995</v>
      </c>
      <c r="CL346" s="2" t="s">
        <v>7996</v>
      </c>
      <c r="CM346" s="2" t="s">
        <v>7997</v>
      </c>
      <c r="CN346" s="2" t="s">
        <v>7998</v>
      </c>
      <c r="CO346" s="2" t="s">
        <v>7999</v>
      </c>
    </row>
    <row r="347" spans="1:98" ht="152" customHeight="1" x14ac:dyDescent="0.45">
      <c r="A347" s="2">
        <v>0</v>
      </c>
      <c r="B347" s="2">
        <v>0</v>
      </c>
      <c r="C347" s="2"/>
      <c r="D347" s="2"/>
      <c r="E347" s="2" t="s">
        <v>5382</v>
      </c>
      <c r="F347" s="2"/>
      <c r="G347" s="2" t="s">
        <v>5382</v>
      </c>
      <c r="H347" s="2" t="s">
        <v>8000</v>
      </c>
      <c r="I347" s="2" t="s">
        <v>8000</v>
      </c>
      <c r="J347" s="2" t="s">
        <v>8001</v>
      </c>
      <c r="K347" s="2" t="s">
        <v>5382</v>
      </c>
      <c r="L347" s="2" t="s">
        <v>5382</v>
      </c>
      <c r="M347" s="2" t="s">
        <v>8002</v>
      </c>
      <c r="N347" s="2" t="s">
        <v>8003</v>
      </c>
      <c r="O347" s="2"/>
      <c r="P347" s="2" t="s">
        <v>8004</v>
      </c>
      <c r="Q347" s="2" t="s">
        <v>8004</v>
      </c>
      <c r="R347" s="2" t="s">
        <v>8005</v>
      </c>
      <c r="S347" s="2" t="s">
        <v>8004</v>
      </c>
      <c r="T347" s="2">
        <v>73</v>
      </c>
      <c r="U347" s="2">
        <v>8</v>
      </c>
      <c r="V347" s="2" t="s">
        <v>8006</v>
      </c>
      <c r="W347" s="2"/>
      <c r="X347" s="2"/>
      <c r="Y347" s="2"/>
      <c r="Z347" s="2" t="s">
        <v>8007</v>
      </c>
      <c r="AA347" s="2" t="s">
        <v>8008</v>
      </c>
      <c r="AB347" s="2">
        <v>5</v>
      </c>
      <c r="AC347" s="2" t="s">
        <v>214</v>
      </c>
      <c r="AD347" s="2" t="s">
        <v>8009</v>
      </c>
      <c r="AE347" s="2">
        <v>229</v>
      </c>
      <c r="AF347" s="2" t="s">
        <v>141</v>
      </c>
      <c r="AG347" s="2"/>
      <c r="AH347" s="2"/>
      <c r="AI347" s="2"/>
      <c r="AJ347" s="2"/>
      <c r="AK347" s="2" t="s">
        <v>217</v>
      </c>
      <c r="AL347" s="2" t="s">
        <v>897</v>
      </c>
      <c r="AM347" s="2" t="s">
        <v>8010</v>
      </c>
      <c r="AN347" s="2" t="s">
        <v>872</v>
      </c>
      <c r="AO347" s="2" t="s">
        <v>8011</v>
      </c>
      <c r="AP347" s="2">
        <v>273297000</v>
      </c>
      <c r="AQ347" s="2">
        <v>273297000</v>
      </c>
      <c r="AR347" s="2" t="s">
        <v>253</v>
      </c>
      <c r="AS347" s="2">
        <v>84045432</v>
      </c>
      <c r="AT347" s="2" t="s">
        <v>8012</v>
      </c>
      <c r="AU347" s="2"/>
      <c r="AV347" s="2"/>
      <c r="AW347" s="2" t="s">
        <v>219</v>
      </c>
      <c r="AX347" s="2">
        <v>92597783</v>
      </c>
      <c r="AY347" s="2" t="s">
        <v>8013</v>
      </c>
      <c r="AZ347" s="2" t="s">
        <v>8014</v>
      </c>
      <c r="BA347" s="2" t="s">
        <v>8015</v>
      </c>
      <c r="BB347" s="2">
        <v>0</v>
      </c>
      <c r="BC347" s="3" t="str">
        <f>HYPERLINK("https://patentscout.innography.com/share/vBPOI74bGWRJG6ILxbY9-w%3D%3D","KR20220150020")</f>
        <v>KR20220150020</v>
      </c>
      <c r="BD347" s="2" t="s">
        <v>8016</v>
      </c>
      <c r="BE347" s="2"/>
      <c r="BF347" s="2" t="s">
        <v>8017</v>
      </c>
      <c r="BG347" s="2" t="str">
        <f>HYPERLINK("https://patentscout.innography.com/share/vBPOI74bGWRJG6ILxbY9-w%3D%3D/download", "Download PDF")</f>
        <v>Download PDF</v>
      </c>
      <c r="BH347" s="2" t="s">
        <v>8018</v>
      </c>
      <c r="BI347" s="2"/>
      <c r="BJ347" s="2" t="s">
        <v>8013</v>
      </c>
      <c r="BK347" s="2" t="s">
        <v>8013</v>
      </c>
      <c r="BL347" s="2" t="s">
        <v>8013</v>
      </c>
      <c r="BM347" s="2"/>
      <c r="BN347" s="2"/>
      <c r="BO347" s="2"/>
      <c r="BP347" s="2"/>
      <c r="BQ347" s="2"/>
      <c r="BR347" s="2"/>
      <c r="BS347" s="2"/>
      <c r="BT347" s="2"/>
      <c r="BU347" s="2"/>
      <c r="BV347" s="2"/>
      <c r="BW347" s="2"/>
      <c r="BX347" s="2"/>
      <c r="BY347" s="2"/>
      <c r="BZ347" s="2"/>
      <c r="CA347" s="2"/>
      <c r="CB347" s="2"/>
      <c r="CC347" s="2" t="s">
        <v>228</v>
      </c>
      <c r="CD347" s="2" t="str">
        <f>HYPERLINK("https://patentscout.innography.com/share/vBPOI74bGWRJG6ILxbY9-w%3D%3D", "Innography Link")</f>
        <v>Innography Link</v>
      </c>
      <c r="CE347" s="2"/>
      <c r="CF347" s="2"/>
      <c r="CG347" s="2"/>
      <c r="CH347" s="2"/>
      <c r="CI347" s="2"/>
      <c r="CK347" s="2" t="s">
        <v>8019</v>
      </c>
      <c r="CL347" s="2" t="s">
        <v>8020</v>
      </c>
    </row>
    <row r="348" spans="1:98" ht="152" customHeight="1" x14ac:dyDescent="0.45">
      <c r="A348" s="2">
        <v>0</v>
      </c>
      <c r="B348" s="2">
        <v>0</v>
      </c>
      <c r="C348" s="2"/>
      <c r="D348" s="2"/>
      <c r="E348" s="2" t="s">
        <v>580</v>
      </c>
      <c r="F348" s="2"/>
      <c r="G348" s="2" t="s">
        <v>580</v>
      </c>
      <c r="H348" s="2" t="s">
        <v>5905</v>
      </c>
      <c r="I348" s="2" t="s">
        <v>3473</v>
      </c>
      <c r="J348" s="2" t="s">
        <v>8021</v>
      </c>
      <c r="K348" s="2" t="s">
        <v>2965</v>
      </c>
      <c r="L348" s="2" t="s">
        <v>2965</v>
      </c>
      <c r="M348" s="2" t="s">
        <v>8022</v>
      </c>
      <c r="N348" s="2" t="s">
        <v>8023</v>
      </c>
      <c r="O348" s="2"/>
      <c r="P348" s="2"/>
      <c r="Q348" s="2" t="s">
        <v>8024</v>
      </c>
      <c r="R348" s="2" t="s">
        <v>8024</v>
      </c>
      <c r="S348" s="2"/>
      <c r="T348" s="2">
        <v>73</v>
      </c>
      <c r="U348" s="2">
        <v>9</v>
      </c>
      <c r="V348" s="2" t="s">
        <v>8025</v>
      </c>
      <c r="W348" s="2"/>
      <c r="X348" s="2"/>
      <c r="Y348" s="2"/>
      <c r="Z348" s="2" t="s">
        <v>8026</v>
      </c>
      <c r="AA348" s="2" t="s">
        <v>8027</v>
      </c>
      <c r="AB348" s="2">
        <v>15</v>
      </c>
      <c r="AC348" s="2" t="s">
        <v>214</v>
      </c>
      <c r="AD348" s="2" t="s">
        <v>8028</v>
      </c>
      <c r="AE348" s="2">
        <v>80</v>
      </c>
      <c r="AF348" s="2" t="s">
        <v>141</v>
      </c>
      <c r="AG348" s="2"/>
      <c r="AH348" s="2"/>
      <c r="AI348" s="2"/>
      <c r="AJ348" s="2"/>
      <c r="AK348" s="2" t="s">
        <v>217</v>
      </c>
      <c r="AL348" s="2" t="s">
        <v>8029</v>
      </c>
      <c r="AM348" s="2" t="s">
        <v>8030</v>
      </c>
      <c r="AN348" s="2" t="s">
        <v>1612</v>
      </c>
      <c r="AO348" s="2" t="s">
        <v>8031</v>
      </c>
      <c r="AP348" s="2">
        <v>340005530</v>
      </c>
      <c r="AQ348" s="2">
        <v>340005530</v>
      </c>
      <c r="AR348" s="2" t="s">
        <v>253</v>
      </c>
      <c r="AS348" s="2">
        <v>81863540</v>
      </c>
      <c r="AT348" s="2" t="s">
        <v>8032</v>
      </c>
      <c r="AU348" s="2"/>
      <c r="AV348" s="2"/>
      <c r="AW348" s="2" t="s">
        <v>219</v>
      </c>
      <c r="AX348" s="2">
        <v>90157962</v>
      </c>
      <c r="AY348" s="2" t="s">
        <v>8033</v>
      </c>
      <c r="AZ348" s="2" t="s">
        <v>8034</v>
      </c>
      <c r="BA348" s="2" t="s">
        <v>8035</v>
      </c>
      <c r="BB348" s="2">
        <v>0</v>
      </c>
      <c r="BC348" s="3" t="str">
        <f>HYPERLINK("https://patentscout.innography.com/share/aAq5WqycUQpb60LQ8dkK4g%3D%3D","KR20220161233")</f>
        <v>KR20220161233</v>
      </c>
      <c r="BD348" s="2" t="s">
        <v>8036</v>
      </c>
      <c r="BE348" s="2"/>
      <c r="BF348" s="2" t="s">
        <v>8037</v>
      </c>
      <c r="BG348" s="2" t="str">
        <f>HYPERLINK("https://patentscout.innography.com/share/aAq5WqycUQpb60LQ8dkK4g%3D%3D/download", "Download PDF")</f>
        <v>Download PDF</v>
      </c>
      <c r="BH348" s="2" t="s">
        <v>8038</v>
      </c>
      <c r="BI348" s="2"/>
      <c r="BJ348" s="2" t="s">
        <v>8039</v>
      </c>
      <c r="BK348" s="2" t="s">
        <v>8040</v>
      </c>
      <c r="BL348" s="2" t="s">
        <v>8040</v>
      </c>
      <c r="BM348" s="2"/>
      <c r="BN348" s="2"/>
      <c r="BO348" s="2"/>
      <c r="BP348" s="2"/>
      <c r="BQ348" s="2"/>
      <c r="BR348" s="2"/>
      <c r="BS348" s="2"/>
      <c r="BT348" s="2"/>
      <c r="BU348" s="2"/>
      <c r="BV348" s="2"/>
      <c r="BW348" s="2"/>
      <c r="BX348" s="2"/>
      <c r="BY348" s="2"/>
      <c r="BZ348" s="2"/>
      <c r="CA348" s="2"/>
      <c r="CB348" s="2"/>
      <c r="CC348" s="2" t="s">
        <v>228</v>
      </c>
      <c r="CD348" s="2" t="str">
        <f>HYPERLINK("https://patentscout.innography.com/share/aAq5WqycUQpb60LQ8dkK4g%3D%3D", "Innography Link")</f>
        <v>Innography Link</v>
      </c>
      <c r="CE348" s="2"/>
      <c r="CF348" s="2"/>
      <c r="CG348" s="2"/>
      <c r="CH348" s="2"/>
      <c r="CI348" s="2"/>
      <c r="CK348" s="2" t="s">
        <v>8041</v>
      </c>
      <c r="CL348" s="2" t="s">
        <v>8042</v>
      </c>
    </row>
  </sheetData>
  <sheetProtection formatCells="0" formatColumns="0" formatRows="0" insertColumns="0" insertRows="0" insertHyperlinks="0" deleteColumns="0" deleteRows="0" sort="0" autoFilter="0" pivotTables="0"/>
  <phoneticPr fontId="3" type="noConversion"/>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vt:i4>
      </vt:variant>
    </vt:vector>
  </HeadingPairs>
  <TitlesOfParts>
    <vt:vector size="1" baseType="lpstr">
      <vt:lpstr>Worksheet</vt:lpstr>
    </vt:vector>
  </TitlesOfParts>
  <Manager/>
  <Company>Microsoft Corporation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Untitled Spreadsheet</dc:title>
  <dc:subject/>
  <dc:creator>Unknown Creator</dc:creator>
  <cp:keywords/>
  <dc:description/>
  <cp:lastModifiedBy>xixi</cp:lastModifiedBy>
  <dcterms:created xsi:type="dcterms:W3CDTF">2023-01-06T09:33:57Z</dcterms:created>
  <dcterms:modified xsi:type="dcterms:W3CDTF">2023-01-06T10:09:41Z</dcterms:modified>
  <cp:category/>
</cp:coreProperties>
</file>